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ernero\Documents\CFM22A2 2022\Test and exam\FSAO\FSAO for moderation\"/>
    </mc:Choice>
  </mc:AlternateContent>
  <bookViews>
    <workbookView xWindow="0" yWindow="0" windowWidth="20490" windowHeight="7620" activeTab="1"/>
  </bookViews>
  <sheets>
    <sheet name="Cover sheet" sheetId="5" r:id="rId1"/>
    <sheet name="SEC A Q1 TO Q6" sheetId="21" r:id="rId2"/>
  </sheets>
  <definedNames>
    <definedName name="_xlnm.Print_Area" localSheetId="0">'Cover sheet'!$A$1:$E$28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6" i="21" l="1"/>
  <c r="C265" i="21"/>
  <c r="C264" i="21"/>
  <c r="E258" i="21"/>
  <c r="C267" i="21" s="1"/>
  <c r="E257" i="21"/>
  <c r="G257" i="21" s="1"/>
  <c r="G256" i="21"/>
  <c r="C243" i="21"/>
  <c r="D244" i="21" s="1"/>
  <c r="E248" i="21" s="1"/>
  <c r="E249" i="21" s="1"/>
  <c r="E250" i="21" s="1"/>
  <c r="D237" i="21"/>
  <c r="C228" i="21"/>
  <c r="C227" i="21"/>
  <c r="D231" i="21" l="1"/>
  <c r="G258" i="21"/>
  <c r="G260" i="21" s="1"/>
  <c r="C268" i="21" s="1"/>
  <c r="B112" i="21" l="1"/>
  <c r="I1" i="21" l="1"/>
  <c r="E309" i="21"/>
  <c r="F308" i="21" s="1"/>
  <c r="E307" i="21"/>
  <c r="E306" i="21"/>
  <c r="F303" i="21"/>
  <c r="F294" i="21"/>
  <c r="F293" i="21"/>
  <c r="F288" i="21"/>
  <c r="D279" i="21"/>
  <c r="F306" i="21" l="1"/>
  <c r="F307" i="21"/>
  <c r="E222" i="21"/>
  <c r="D220" i="21"/>
  <c r="E220" i="21" s="1"/>
  <c r="D219" i="21"/>
  <c r="E219" i="21" s="1"/>
  <c r="D218" i="21"/>
  <c r="E218" i="21" s="1"/>
  <c r="D211" i="21"/>
  <c r="C211" i="21"/>
  <c r="C205" i="21"/>
  <c r="C206" i="21" s="1"/>
  <c r="C198" i="21"/>
  <c r="E192" i="21"/>
  <c r="E191" i="21"/>
  <c r="E193" i="21" s="1"/>
  <c r="C188" i="21"/>
  <c r="C179" i="21"/>
  <c r="C172" i="21"/>
  <c r="C181" i="21" s="1"/>
  <c r="C182" i="21" s="1"/>
  <c r="C160" i="21"/>
  <c r="C161" i="21" s="1"/>
  <c r="C162" i="21" s="1"/>
  <c r="D157" i="21"/>
  <c r="D156" i="21"/>
  <c r="C167" i="21" l="1"/>
  <c r="C168" i="21" s="1"/>
  <c r="C169" i="21" s="1"/>
  <c r="E221" i="21"/>
  <c r="E223" i="21" s="1"/>
  <c r="E224" i="21" s="1"/>
  <c r="C59" i="21" l="1"/>
  <c r="C56" i="21"/>
  <c r="C50" i="21"/>
  <c r="C44" i="21"/>
  <c r="C36" i="21"/>
  <c r="C115" i="21" l="1"/>
  <c r="B115" i="21"/>
  <c r="B107" i="21"/>
  <c r="C107" i="21" s="1"/>
  <c r="D151" i="21" l="1"/>
  <c r="D148" i="21"/>
  <c r="D145" i="21"/>
  <c r="B129" i="21"/>
  <c r="B135" i="21"/>
  <c r="B141" i="21"/>
  <c r="F123" i="21"/>
  <c r="C101" i="21"/>
  <c r="C100" i="21"/>
  <c r="C91" i="21"/>
  <c r="E91" i="21" s="1"/>
  <c r="C96" i="21" s="1"/>
  <c r="E90" i="21"/>
  <c r="D90" i="21"/>
  <c r="D91" i="21" l="1"/>
  <c r="C95" i="21" s="1"/>
  <c r="E92" i="21"/>
  <c r="D27" i="5"/>
  <c r="D92" i="21" l="1"/>
</calcChain>
</file>

<file path=xl/sharedStrings.xml><?xml version="1.0" encoding="utf-8"?>
<sst xmlns="http://schemas.openxmlformats.org/spreadsheetml/2006/main" count="487" uniqueCount="281">
  <si>
    <t>Department of Commercial Accounting</t>
  </si>
  <si>
    <t>Time:</t>
  </si>
  <si>
    <t>Marks:</t>
  </si>
  <si>
    <t>Assessors:</t>
  </si>
  <si>
    <t>Internal moderator:</t>
  </si>
  <si>
    <t>INSTRUCTIONS:</t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</si>
  <si>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 Narrow"/>
        <family val="2"/>
      </rPr>
      <t>Answer all questions. Show all calculations and workings clearly.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</si>
  <si>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 Narrow"/>
        <family val="2"/>
      </rPr>
      <t>Silent, non-programmable calculators may be used.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</si>
  <si>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 Narrow"/>
        <family val="2"/>
      </rPr>
      <t>Round all calculations to two decimal places, unless stipulated otherwise.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</si>
  <si>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b/>
        <sz val="12"/>
        <color theme="1"/>
        <rFont val="Arial Narrow"/>
        <family val="2"/>
      </rPr>
      <t>INDICATE YOUR INDEX NUMBER (FROM THE CLASS LIST) IN THE TOP MIDDLE OF YOUR SCRIPT.</t>
    </r>
  </si>
  <si>
    <t>Marks</t>
  </si>
  <si>
    <t>Time</t>
  </si>
  <si>
    <t>COST &amp; FINANCIAL MANAGEMENT 2A</t>
  </si>
  <si>
    <t>CFM22A2</t>
  </si>
  <si>
    <t>Total marks</t>
  </si>
  <si>
    <t>Mr WH Otto, Mrs L  Pelcher, Mrs P Ramutumbu</t>
  </si>
  <si>
    <t>Chapter</t>
  </si>
  <si>
    <t>Unit</t>
  </si>
  <si>
    <t>=</t>
  </si>
  <si>
    <t>FINAL ASSESSMENT OPPORTUNITY MEMORANDUM</t>
  </si>
  <si>
    <t>180 minutes</t>
  </si>
  <si>
    <t>2&amp;3</t>
  </si>
  <si>
    <t>36 minutes</t>
  </si>
  <si>
    <t>August</t>
  </si>
  <si>
    <t>September</t>
  </si>
  <si>
    <t>Turnover</t>
  </si>
  <si>
    <t>Purchases</t>
  </si>
  <si>
    <t>Operating expenses</t>
  </si>
  <si>
    <t>Other income</t>
  </si>
  <si>
    <t>Finance costs</t>
  </si>
  <si>
    <t>Sales breakdown</t>
  </si>
  <si>
    <t>Month</t>
  </si>
  <si>
    <t>%</t>
  </si>
  <si>
    <t>Cash</t>
  </si>
  <si>
    <t>Credit</t>
  </si>
  <si>
    <t xml:space="preserve">½ </t>
  </si>
  <si>
    <t>Total</t>
  </si>
  <si>
    <t>September debtors collection schedule</t>
  </si>
  <si>
    <t>Creditor payment schedule</t>
  </si>
  <si>
    <t>Credit purchases</t>
  </si>
  <si>
    <t>OCT</t>
  </si>
  <si>
    <t>Sep = R 680 000 x 70%</t>
  </si>
  <si>
    <t>Oct = R 50 000</t>
  </si>
  <si>
    <t>P</t>
  </si>
  <si>
    <t>Economic order quantity</t>
  </si>
  <si>
    <t>EOQ = sqrt(2DO /C)</t>
  </si>
  <si>
    <t>units</t>
  </si>
  <si>
    <r>
      <t xml:space="preserve">Reorder point </t>
    </r>
    <r>
      <rPr>
        <sz val="11"/>
        <color rgb="FF3C3C3C"/>
        <rFont val="Calibri"/>
        <family val="2"/>
        <scheme val="minor"/>
      </rPr>
      <t>=</t>
    </r>
    <r>
      <rPr>
        <b/>
        <sz val="11"/>
        <color rgb="FFE46C0A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Lead time x Daily usage</t>
    </r>
  </si>
  <si>
    <t>Re order point = lead time * (annual demand/no of days in a year)</t>
  </si>
  <si>
    <t>annual demand</t>
  </si>
  <si>
    <t>Discount</t>
  </si>
  <si>
    <t>X</t>
  </si>
  <si>
    <t>days per annum</t>
  </si>
  <si>
    <t>100-discount</t>
  </si>
  <si>
    <t>credit days-discount days</t>
  </si>
  <si>
    <t>(100-10)</t>
  </si>
  <si>
    <t>(90-30)</t>
  </si>
  <si>
    <t>AAI</t>
  </si>
  <si>
    <t>30435000 / 1/2 X (426000+418000)</t>
  </si>
  <si>
    <t>times</t>
  </si>
  <si>
    <t>Trade receivable turnover ratio:</t>
  </si>
  <si>
    <t>21100/(0.5*(1500+1400))</t>
  </si>
  <si>
    <t>Trade payable turnover ratio:</t>
  </si>
  <si>
    <t>42000/(0.5*(2000+3000))</t>
  </si>
  <si>
    <t>Inventory turnover time</t>
  </si>
  <si>
    <t>285/2196 x 365</t>
  </si>
  <si>
    <t>days</t>
  </si>
  <si>
    <t>Trade payable time</t>
  </si>
  <si>
    <t>594/1440 x 365</t>
  </si>
  <si>
    <t>Trade receivable time</t>
  </si>
  <si>
    <t>252/2376 x 365</t>
  </si>
  <si>
    <t>QUESTION 1</t>
  </si>
  <si>
    <t>QUESTION 2</t>
  </si>
  <si>
    <t>07/06/2022</t>
  </si>
  <si>
    <t>Aug (150 500) 20% received in Sep</t>
  </si>
  <si>
    <t>Sep (87 500) 75% received in Sep</t>
  </si>
  <si>
    <t>=sqrt[(2 * 2000 000 * R110)/R250]</t>
  </si>
  <si>
    <t>= 14 x (1 600 / 365)</t>
  </si>
  <si>
    <t xml:space="preserve">   ½       ½ </t>
  </si>
  <si>
    <t>½     ½</t>
  </si>
  <si>
    <t xml:space="preserve">½                      ½ </t>
  </si>
  <si>
    <t>*Only half a mark if answer alone without days is given.</t>
  </si>
  <si>
    <t>*Only half a mark if answer alone without times is given.</t>
  </si>
  <si>
    <t>*Only half a mark if answer alone without units is given.</t>
  </si>
  <si>
    <t>QUESTION 3</t>
  </si>
  <si>
    <t xml:space="preserve">Company   </t>
  </si>
  <si>
    <t xml:space="preserve">Weight      </t>
  </si>
  <si>
    <t>SD</t>
  </si>
  <si>
    <t>Variance</t>
  </si>
  <si>
    <t>Big Jump (Pty) Ltd</t>
  </si>
  <si>
    <t>Small Leap (Pty) Ltd</t>
  </si>
  <si>
    <t xml:space="preserve">  ^            ^</t>
  </si>
  <si>
    <t>^      ^         ^</t>
  </si>
  <si>
    <t>^        ^</t>
  </si>
  <si>
    <t>='</t>
  </si>
  <si>
    <t>(0.31² x 76)+ (0.69² x 47)+2(0.31 x 0.69 x 4)</t>
  </si>
  <si>
    <t>variance =</t>
  </si>
  <si>
    <t xml:space="preserve">standard dev = </t>
  </si>
  <si>
    <t xml:space="preserve">SD = </t>
  </si>
  <si>
    <t xml:space="preserve">^     </t>
  </si>
  <si>
    <t>OR</t>
  </si>
  <si>
    <t xml:space="preserve">    ^          ^</t>
  </si>
  <si>
    <t>^           ^               ^</t>
  </si>
  <si>
    <t xml:space="preserve">          ^         ^</t>
  </si>
  <si>
    <t>(0.31² x 8.72²)+ (0.69² x 6.86²)+2(0.31 x 0.69 x 4)</t>
  </si>
  <si>
    <t xml:space="preserve">P(t-1) = </t>
  </si>
  <si>
    <t>c</t>
  </si>
  <si>
    <t xml:space="preserve">Pt= (1200 * 1.3) </t>
  </si>
  <si>
    <t>Dt</t>
  </si>
  <si>
    <t xml:space="preserve">HPR ₌ </t>
  </si>
  <si>
    <t>(Pt - Pt-1) + Dt</t>
  </si>
  <si>
    <t>x     100</t>
  </si>
  <si>
    <t>Pt-1</t>
  </si>
  <si>
    <t xml:space="preserve">      ^           ^</t>
  </si>
  <si>
    <t xml:space="preserve"> ^</t>
  </si>
  <si>
    <t>₌</t>
  </si>
  <si>
    <t>(1 560 - 1 200) + 180</t>
  </si>
  <si>
    <t>^</t>
  </si>
  <si>
    <t>x   100</t>
  </si>
  <si>
    <t xml:space="preserve">         ^      ^       ^      </t>
  </si>
  <si>
    <r>
      <t>CAPM = r</t>
    </r>
    <r>
      <rPr>
        <vertAlign val="subscript"/>
        <sz val="11"/>
        <color rgb="FF000000"/>
        <rFont val="Calibri"/>
        <family val="2"/>
        <scheme val="minor"/>
      </rPr>
      <t>f</t>
    </r>
    <r>
      <rPr>
        <sz val="11"/>
        <color rgb="FF000000"/>
        <rFont val="Calibri"/>
        <family val="2"/>
        <scheme val="minor"/>
      </rPr>
      <t xml:space="preserve"> + b(r</t>
    </r>
    <r>
      <rPr>
        <vertAlign val="subscript"/>
        <sz val="11"/>
        <color rgb="FF000000"/>
        <rFont val="Calibri"/>
        <family val="2"/>
        <scheme val="minor"/>
      </rPr>
      <t>m</t>
    </r>
    <r>
      <rPr>
        <sz val="11"/>
        <color rgb="FF000000"/>
        <rFont val="Calibri"/>
        <family val="2"/>
        <scheme val="minor"/>
      </rPr>
      <t>-r</t>
    </r>
    <r>
      <rPr>
        <vertAlign val="subscript"/>
        <sz val="11"/>
        <color rgb="FF000000"/>
        <rFont val="Calibri"/>
        <family val="2"/>
        <scheme val="minor"/>
      </rPr>
      <t>f</t>
    </r>
    <r>
      <rPr>
        <sz val="11"/>
        <color rgb="FF000000"/>
        <rFont val="Calibri"/>
        <family val="2"/>
        <scheme val="minor"/>
      </rPr>
      <t>) = 6 + 1.6(11-6)</t>
    </r>
  </si>
  <si>
    <t>CAPM</t>
  </si>
  <si>
    <t xml:space="preserve">^               </t>
  </si>
  <si>
    <t>weight</t>
  </si>
  <si>
    <t xml:space="preserve">r    </t>
  </si>
  <si>
    <t>w x r</t>
  </si>
  <si>
    <t>Buffalo Thorn</t>
  </si>
  <si>
    <t xml:space="preserve">^      </t>
  </si>
  <si>
    <t>Bushwillow</t>
  </si>
  <si>
    <t xml:space="preserve">R portfolio = </t>
  </si>
  <si>
    <t>(2+(-9)+5+(-1) / 4</t>
  </si>
  <si>
    <t>Return</t>
  </si>
  <si>
    <t>1 + return</t>
  </si>
  <si>
    <t xml:space="preserve">Sum = </t>
  </si>
  <si>
    <t xml:space="preserve">Applying formula for Geometric r = </t>
  </si>
  <si>
    <t>Party (Pty) Ltd</t>
  </si>
  <si>
    <t>Work (Pty) Ltd</t>
  </si>
  <si>
    <t>Expected return (%)</t>
  </si>
  <si>
    <t>Standard deviation (%)</t>
  </si>
  <si>
    <t>CV</t>
  </si>
  <si>
    <t xml:space="preserve">      ^</t>
  </si>
  <si>
    <t>Based on above calculated CV values, Work (Pty) Ltd</t>
  </si>
  <si>
    <t>Because the investment has the lowest coefficient of variation</t>
  </si>
  <si>
    <t>Historic return</t>
  </si>
  <si>
    <t>Average return (geometric)</t>
  </si>
  <si>
    <t>(r - r-bar)</t>
  </si>
  <si>
    <t>(r - r-bar)^2</t>
  </si>
  <si>
    <t xml:space="preserve">^          </t>
  </si>
  <si>
    <t>n=2</t>
  </si>
  <si>
    <t xml:space="preserve">n-1=2 </t>
  </si>
  <si>
    <t xml:space="preserve">VAR </t>
  </si>
  <si>
    <t xml:space="preserve">SD </t>
  </si>
  <si>
    <t>Mrs S Adam</t>
  </si>
  <si>
    <t>QUESTION 4</t>
  </si>
  <si>
    <t>2.6.1</t>
  </si>
  <si>
    <t>2.6.2</t>
  </si>
  <si>
    <t>1.1.1</t>
  </si>
  <si>
    <t xml:space="preserve">EPS = </t>
  </si>
  <si>
    <t>Attributable earnings</t>
  </si>
  <si>
    <t>*PAT-NCI-PREF DIV</t>
  </si>
  <si>
    <t>ü</t>
  </si>
  <si>
    <t>Numbers of ordinary shares</t>
  </si>
  <si>
    <t>R0.25 per share</t>
  </si>
  <si>
    <t>*half mark only if answer is not stated as a rand amount.</t>
  </si>
  <si>
    <t>1.1.2</t>
  </si>
  <si>
    <t>DPS   =</t>
  </si>
  <si>
    <t>Ordinary dividends</t>
  </si>
  <si>
    <t>R0.20 per share</t>
  </si>
  <si>
    <t>1.1.3</t>
  </si>
  <si>
    <t xml:space="preserve">PE = </t>
  </si>
  <si>
    <t>Price per share</t>
  </si>
  <si>
    <t>Earnings per share</t>
  </si>
  <si>
    <t>0.25</t>
  </si>
  <si>
    <t>*principle half mark awarded for EPS from 1.1.1</t>
  </si>
  <si>
    <t>*accept final answer whether in times and/or Rands.</t>
  </si>
  <si>
    <t>1.1.4</t>
  </si>
  <si>
    <t xml:space="preserve">Dividend payout = </t>
  </si>
  <si>
    <t>Ordinary Dividends</t>
  </si>
  <si>
    <t/>
  </si>
  <si>
    <t>1.1.5</t>
  </si>
  <si>
    <t>Ordinary dividend coverage =</t>
  </si>
  <si>
    <t>^^</t>
  </si>
  <si>
    <t>1/0.82</t>
  </si>
  <si>
    <t>*half mark only if answer is not stated as a times.</t>
  </si>
  <si>
    <t>1.1.6</t>
  </si>
  <si>
    <t>Market to book =</t>
  </si>
  <si>
    <t>Market capitalization</t>
  </si>
  <si>
    <t>Book value for ordinary share capital</t>
  </si>
  <si>
    <t>6 720 000 = 420 000*16</t>
  </si>
  <si>
    <t>1.2.1</t>
  </si>
  <si>
    <t xml:space="preserve">DPS   </t>
  </si>
  <si>
    <t xml:space="preserve">Measures dividends/amount earned per share. Thus, how much dividends are paid per share. </t>
  </si>
  <si>
    <t>1.2.2</t>
  </si>
  <si>
    <t xml:space="preserve">Dividend payout </t>
  </si>
  <si>
    <t>Represents the portion of the attributable earnings that is paid to investors.</t>
  </si>
  <si>
    <t>1.2.3</t>
  </si>
  <si>
    <t xml:space="preserve">Ordinary dividend coverage </t>
  </si>
  <si>
    <t xml:space="preserve">Measures the extent to which dividends can be paid from attributable earnings. 
</t>
  </si>
  <si>
    <t>1.2.4</t>
  </si>
  <si>
    <t xml:space="preserve">Market to book </t>
  </si>
  <si>
    <t>Should provide an indication of the price investors are prepared to pay relative to the investment at book value.</t>
  </si>
  <si>
    <t>1.2.5</t>
  </si>
  <si>
    <t xml:space="preserve">PE </t>
  </si>
  <si>
    <t xml:space="preserve">The PE ratio indicates </t>
  </si>
  <si>
    <t xml:space="preserve">how many rands investors are prepared to pay for each R1 EPS that is earned by the company. </t>
  </si>
  <si>
    <t>the investor confidence in the company</t>
  </si>
  <si>
    <t>the risk perception of the company by investors</t>
  </si>
  <si>
    <t>the growth potentioal of the company by investors</t>
  </si>
  <si>
    <t>*any two alternatives above.</t>
  </si>
  <si>
    <t>1.2.6</t>
  </si>
  <si>
    <t>EPS</t>
  </si>
  <si>
    <t>Measures profit after tax per share.</t>
  </si>
  <si>
    <t>FSAO QUESTION SOLUTIONS</t>
  </si>
  <si>
    <t>QUESTION 5</t>
  </si>
  <si>
    <t>QUESTION 6</t>
  </si>
  <si>
    <t>N =</t>
  </si>
  <si>
    <t>(9*2)</t>
  </si>
  <si>
    <t>I/Y =</t>
  </si>
  <si>
    <t>(18/2)</t>
  </si>
  <si>
    <t>FV =</t>
  </si>
  <si>
    <t xml:space="preserve">PMT = </t>
  </si>
  <si>
    <t>PV =</t>
  </si>
  <si>
    <t>? CPT</t>
  </si>
  <si>
    <t>Shortfall</t>
  </si>
  <si>
    <t>* Principle mark based on FV calculated in relation to the R15 000 000 needed</t>
  </si>
  <si>
    <t>P1</t>
  </si>
  <si>
    <t>P2</t>
  </si>
  <si>
    <t>Payment</t>
  </si>
  <si>
    <t>Principal payment</t>
  </si>
  <si>
    <t>Annual interest</t>
  </si>
  <si>
    <t>Principal amount owning at year end</t>
  </si>
  <si>
    <t>* Principle mark for using PMT calculated in 4.3.1</t>
  </si>
  <si>
    <t>Cashflows</t>
  </si>
  <si>
    <t>N</t>
  </si>
  <si>
    <t>I/Y</t>
  </si>
  <si>
    <t>PV</t>
  </si>
  <si>
    <t>CF0</t>
  </si>
  <si>
    <t>CF1</t>
  </si>
  <si>
    <t>CF2</t>
  </si>
  <si>
    <t>NPV</t>
  </si>
  <si>
    <t xml:space="preserve">NPV = </t>
  </si>
  <si>
    <t>5.3.2</t>
  </si>
  <si>
    <t>5.3.1</t>
  </si>
  <si>
    <t>5.2.2</t>
  </si>
  <si>
    <t>5.2.1</t>
  </si>
  <si>
    <t>Bonds</t>
  </si>
  <si>
    <t xml:space="preserve">PV </t>
  </si>
  <si>
    <t>½</t>
  </si>
  <si>
    <t>FV</t>
  </si>
  <si>
    <t>i</t>
  </si>
  <si>
    <t>PMT</t>
  </si>
  <si>
    <t>Coupon rate=</t>
  </si>
  <si>
    <t>coupon/par value * 100</t>
  </si>
  <si>
    <t>1182.76/10000*100</t>
  </si>
  <si>
    <t>*Principle mark for PMT in second part.</t>
  </si>
  <si>
    <t>6.2.1</t>
  </si>
  <si>
    <t xml:space="preserve"> Equity</t>
  </si>
  <si>
    <t>K_e = R_f + β (R_m - R_f)</t>
  </si>
  <si>
    <t>0.08+1.3*(0.16-0.08)</t>
  </si>
  <si>
    <t>Risk Free rate</t>
  </si>
  <si>
    <t>ꓥ</t>
  </si>
  <si>
    <t>Beta</t>
  </si>
  <si>
    <t>Return on the market</t>
  </si>
  <si>
    <t>Required rate of Return</t>
  </si>
  <si>
    <t>6.2.2</t>
  </si>
  <si>
    <t xml:space="preserve"> Preference</t>
  </si>
  <si>
    <t>100 000 x R5.15</t>
  </si>
  <si>
    <t>500 000 * 8%</t>
  </si>
  <si>
    <t>100 000 x R5</t>
  </si>
  <si>
    <t>6.2.3</t>
  </si>
  <si>
    <t>Debt</t>
  </si>
  <si>
    <t>After Tax</t>
  </si>
  <si>
    <t>6.2.4</t>
  </si>
  <si>
    <t>Component</t>
  </si>
  <si>
    <t>Book value</t>
  </si>
  <si>
    <t>Weighting</t>
  </si>
  <si>
    <t>Ordinary shares</t>
  </si>
  <si>
    <t>Preference shares</t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</si>
  <si>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 Narrow"/>
        <family val="2"/>
      </rPr>
      <t>This paper consists of</t>
    </r>
    <r>
      <rPr>
        <sz val="12"/>
        <color rgb="FFFF6600"/>
        <rFont val="Arial Narrow"/>
        <family val="2"/>
      </rPr>
      <t xml:space="preserve"> </t>
    </r>
    <r>
      <rPr>
        <sz val="12"/>
        <rFont val="Arial Narrow"/>
        <family val="2"/>
      </rPr>
      <t>13</t>
    </r>
    <r>
      <rPr>
        <sz val="12"/>
        <color theme="1"/>
        <rFont val="Arial Narrow"/>
        <family val="2"/>
      </rPr>
      <t xml:space="preserve"> pages (including the cover page).</t>
    </r>
  </si>
  <si>
    <t xml:space="preserve">                                     ½                           ½</t>
  </si>
  <si>
    <t>*Principle mark to be awarded if student calculated that Paty (Pty) Ltd obtained the lowest CV.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</si>
</sst>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R&quot;\ #,##0;[Red]&quot;R&quot;\ \-#,##0"/>
    <numFmt numFmtId="8" formatCode="&quot;R&quot;\ #,##0.00;[Red]&quot;R&quot;\ \-#,##0.00"/>
    <numFmt numFmtId="44" formatCode="_ &quot;R&quot;\ * #,##0.00_ ;_ &quot;R&quot;\ * \-#,##0.00_ ;_ &quot;R&quot;\ * &quot;-&quot;??_ ;_ @_ "/>
    <numFmt numFmtId="43" formatCode="_ * #,##0.00_ ;_ * \-#,##0.00_ ;_ * &quot;-&quot;??_ ;_ @_ "/>
    <numFmt numFmtId="164" formatCode="_ * #,##0_ ;_ * \-#,##0_ ;_ * &quot;-&quot;??_ ;_ @_ "/>
    <numFmt numFmtId="165" formatCode="#,##0.00_ ;[Red]\-#,##0.00\ "/>
    <numFmt numFmtId="166" formatCode="0.000"/>
    <numFmt numFmtId="167" formatCode="0.000%"/>
    <numFmt numFmtId="168" formatCode="&quot;R&quot;#,##0.00;[Red]\-&quot;R&quot;#,##0.00"/>
    <numFmt numFmtId="169" formatCode="&quot;R&quot;#,##0.00"/>
    <numFmt numFmtId="170" formatCode="&quot;R&quot;\ #,##0.00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Wingdings"/>
      <charset val="2"/>
    </font>
    <font>
      <sz val="12"/>
      <color theme="1"/>
      <name val="Arial Narrow"/>
      <family val="2"/>
    </font>
    <font>
      <b/>
      <sz val="12"/>
      <name val="Calibri Light"/>
      <family val="2"/>
    </font>
    <font>
      <b/>
      <sz val="12"/>
      <color theme="1"/>
      <name val="Arial Narrow"/>
      <family val="2"/>
    </font>
    <font>
      <sz val="12"/>
      <color theme="1"/>
      <name val="Wingdings"/>
      <charset val="2"/>
    </font>
    <font>
      <sz val="7"/>
      <color theme="1"/>
      <name val="Times New Roman"/>
      <family val="1"/>
    </font>
    <font>
      <sz val="12"/>
      <color rgb="FFFF6600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Wingdings 2"/>
      <family val="1"/>
      <charset val="2"/>
    </font>
    <font>
      <sz val="11"/>
      <color rgb="FF3C3C3C"/>
      <name val="Calibri"/>
      <family val="2"/>
      <scheme val="minor"/>
    </font>
    <font>
      <b/>
      <sz val="11"/>
      <color rgb="FFE46C0A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Wingdings 3"/>
      <family val="1"/>
      <charset val="2"/>
    </font>
    <font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</font>
    <font>
      <sz val="11"/>
      <color rgb="FFFF0000"/>
      <name val="Wingdings 2"/>
      <family val="1"/>
      <charset val="2"/>
    </font>
    <font>
      <sz val="11"/>
      <color theme="4" tint="0.39997558519241921"/>
      <name val="Calibri"/>
      <family val="2"/>
      <scheme val="minor"/>
    </font>
    <font>
      <sz val="11"/>
      <color theme="1"/>
      <name val="Cambria Math"/>
      <family val="1"/>
    </font>
    <font>
      <sz val="11"/>
      <color rgb="FFFF0000"/>
      <name val="Arial"/>
      <family val="2"/>
    </font>
    <font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</cellStyleXfs>
  <cellXfs count="23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5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 indent="4"/>
    </xf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/>
    </xf>
    <xf numFmtId="10" fontId="0" fillId="0" borderId="0" xfId="0" applyNumberFormat="1" applyFont="1"/>
    <xf numFmtId="0" fontId="1" fillId="0" borderId="13" xfId="0" applyFont="1" applyBorder="1"/>
    <xf numFmtId="0" fontId="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0" fillId="0" borderId="13" xfId="0" applyFont="1" applyBorder="1"/>
    <xf numFmtId="9" fontId="0" fillId="0" borderId="0" xfId="0" applyNumberFormat="1" applyFont="1" applyBorder="1"/>
    <xf numFmtId="164" fontId="0" fillId="0" borderId="0" xfId="0" applyNumberFormat="1" applyFont="1" applyBorder="1"/>
    <xf numFmtId="164" fontId="0" fillId="0" borderId="14" xfId="0" applyNumberFormat="1" applyFont="1" applyBorder="1"/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0" fillId="0" borderId="15" xfId="0" applyFont="1" applyBorder="1"/>
    <xf numFmtId="9" fontId="0" fillId="0" borderId="16" xfId="0" applyNumberFormat="1" applyFont="1" applyBorder="1"/>
    <xf numFmtId="164" fontId="1" fillId="0" borderId="17" xfId="0" applyNumberFormat="1" applyFont="1" applyBorder="1"/>
    <xf numFmtId="0" fontId="0" fillId="0" borderId="0" xfId="0" applyFont="1" applyBorder="1"/>
    <xf numFmtId="164" fontId="1" fillId="0" borderId="0" xfId="0" applyNumberFormat="1" applyFont="1" applyBorder="1"/>
    <xf numFmtId="2" fontId="0" fillId="0" borderId="17" xfId="0" applyNumberFormat="1" applyFont="1" applyBorder="1"/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165" fontId="13" fillId="0" borderId="17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left"/>
    </xf>
    <xf numFmtId="0" fontId="0" fillId="0" borderId="0" xfId="0" quotePrefix="1" applyFont="1"/>
    <xf numFmtId="2" fontId="0" fillId="0" borderId="0" xfId="0" quotePrefix="1" applyNumberFormat="1" applyFont="1"/>
    <xf numFmtId="0" fontId="16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Border="1"/>
    <xf numFmtId="0" fontId="13" fillId="0" borderId="0" xfId="0" applyFont="1" applyAlignment="1">
      <alignment horizontal="left" vertical="center" readingOrder="1"/>
    </xf>
    <xf numFmtId="0" fontId="13" fillId="0" borderId="0" xfId="0" quotePrefix="1" applyFont="1"/>
    <xf numFmtId="0" fontId="14" fillId="0" borderId="0" xfId="0" applyFont="1" applyAlignment="1">
      <alignment horizontal="left"/>
    </xf>
    <xf numFmtId="2" fontId="0" fillId="0" borderId="0" xfId="0" applyNumberFormat="1" applyFont="1"/>
    <xf numFmtId="1" fontId="0" fillId="0" borderId="0" xfId="0" applyNumberFormat="1"/>
    <xf numFmtId="0" fontId="0" fillId="0" borderId="16" xfId="0" applyFont="1" applyBorder="1"/>
    <xf numFmtId="0" fontId="0" fillId="0" borderId="1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2" fontId="0" fillId="0" borderId="0" xfId="0" applyNumberFormat="1"/>
    <xf numFmtId="0" fontId="14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19" fillId="0" borderId="0" xfId="0" applyFont="1"/>
    <xf numFmtId="0" fontId="12" fillId="0" borderId="17" xfId="0" applyFont="1" applyBorder="1" applyAlignment="1">
      <alignment horizontal="justify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7" xfId="0" applyFont="1" applyBorder="1" applyAlignment="1">
      <alignment vertical="center" wrapText="1"/>
    </xf>
    <xf numFmtId="6" fontId="0" fillId="0" borderId="17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Font="1" applyBorder="1" applyAlignment="1">
      <alignment wrapText="1"/>
    </xf>
    <xf numFmtId="1" fontId="0" fillId="0" borderId="0" xfId="0" applyNumberFormat="1" applyFont="1" applyBorder="1"/>
    <xf numFmtId="1" fontId="0" fillId="0" borderId="14" xfId="0" applyNumberFormat="1" applyFont="1" applyBorder="1"/>
    <xf numFmtId="1" fontId="0" fillId="0" borderId="0" xfId="0" applyNumberFormat="1" applyFont="1"/>
    <xf numFmtId="0" fontId="11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0" fillId="0" borderId="0" xfId="0" applyAlignment="1"/>
    <xf numFmtId="0" fontId="20" fillId="0" borderId="0" xfId="0" applyFont="1"/>
    <xf numFmtId="0" fontId="0" fillId="0" borderId="17" xfId="0" applyFont="1" applyBorder="1" applyAlignment="1">
      <alignment horizontal="justify" vertical="center" wrapText="1"/>
    </xf>
    <xf numFmtId="9" fontId="0" fillId="0" borderId="17" xfId="0" applyNumberFormat="1" applyFont="1" applyBorder="1" applyAlignment="1">
      <alignment horizontal="justify" vertical="center" wrapText="1"/>
    </xf>
    <xf numFmtId="2" fontId="0" fillId="0" borderId="17" xfId="0" applyNumberFormat="1" applyFont="1" applyBorder="1" applyAlignment="1">
      <alignment horizontal="justify" vertical="center" wrapText="1"/>
    </xf>
    <xf numFmtId="0" fontId="0" fillId="0" borderId="17" xfId="0" applyFont="1" applyBorder="1" applyAlignment="1">
      <alignment vertical="center" wrapText="1"/>
    </xf>
    <xf numFmtId="9" fontId="0" fillId="0" borderId="17" xfId="0" applyNumberFormat="1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quotePrefix="1" applyFont="1" applyAlignment="1">
      <alignment horizontal="right"/>
    </xf>
    <xf numFmtId="0" fontId="0" fillId="0" borderId="0" xfId="0" quotePrefix="1" applyFont="1" applyAlignment="1">
      <alignment horizontal="left"/>
    </xf>
    <xf numFmtId="43" fontId="0" fillId="0" borderId="0" xfId="1" applyFont="1" applyAlignment="1">
      <alignment horizontal="left"/>
    </xf>
    <xf numFmtId="166" fontId="0" fillId="0" borderId="0" xfId="0" applyNumberFormat="1" applyFont="1"/>
    <xf numFmtId="0" fontId="16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19" fillId="0" borderId="0" xfId="0" applyFont="1" applyAlignment="1">
      <alignment horizontal="left"/>
    </xf>
    <xf numFmtId="3" fontId="0" fillId="0" borderId="11" xfId="0" applyNumberFormat="1" applyFont="1" applyBorder="1" applyAlignment="1">
      <alignment horizontal="left"/>
    </xf>
    <xf numFmtId="10" fontId="11" fillId="0" borderId="0" xfId="0" applyNumberFormat="1" applyFont="1" applyAlignment="1">
      <alignment horizontal="left"/>
    </xf>
    <xf numFmtId="10" fontId="0" fillId="0" borderId="0" xfId="2" applyNumberFormat="1" applyFont="1" applyAlignment="1">
      <alignment horizontal="left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10" fontId="0" fillId="0" borderId="0" xfId="0" applyNumberFormat="1" applyFont="1" applyAlignment="1">
      <alignment horizontal="left"/>
    </xf>
    <xf numFmtId="0" fontId="0" fillId="0" borderId="17" xfId="0" applyFont="1" applyBorder="1"/>
    <xf numFmtId="0" fontId="0" fillId="0" borderId="17" xfId="0" applyFont="1" applyBorder="1" applyAlignment="1">
      <alignment horizontal="center"/>
    </xf>
    <xf numFmtId="0" fontId="23" fillId="0" borderId="17" xfId="0" applyFont="1" applyBorder="1"/>
    <xf numFmtId="10" fontId="0" fillId="0" borderId="17" xfId="0" applyNumberFormat="1" applyFont="1" applyBorder="1"/>
    <xf numFmtId="9" fontId="0" fillId="0" borderId="17" xfId="0" applyNumberFormat="1" applyFont="1" applyBorder="1"/>
    <xf numFmtId="167" fontId="0" fillId="0" borderId="17" xfId="0" applyNumberFormat="1" applyFont="1" applyBorder="1"/>
    <xf numFmtId="0" fontId="0" fillId="0" borderId="17" xfId="0" applyFont="1" applyBorder="1" applyAlignment="1">
      <alignment horizontal="right" vertical="center"/>
    </xf>
    <xf numFmtId="0" fontId="0" fillId="0" borderId="17" xfId="0" applyFont="1" applyBorder="1" applyAlignment="1">
      <alignment vertical="center"/>
    </xf>
    <xf numFmtId="2" fontId="0" fillId="0" borderId="17" xfId="0" applyNumberFormat="1" applyFont="1" applyBorder="1" applyAlignment="1">
      <alignment horizontal="right" vertical="center"/>
    </xf>
    <xf numFmtId="0" fontId="0" fillId="0" borderId="17" xfId="0" applyFont="1" applyFill="1" applyBorder="1" applyAlignment="1">
      <alignment vertical="center" wrapText="1"/>
    </xf>
    <xf numFmtId="0" fontId="19" fillId="0" borderId="0" xfId="0" applyFont="1" applyBorder="1" applyAlignment="1"/>
    <xf numFmtId="0" fontId="0" fillId="0" borderId="0" xfId="0" applyFont="1" applyBorder="1" applyAlignment="1">
      <alignment horizontal="justify" vertical="center" wrapText="1"/>
    </xf>
    <xf numFmtId="2" fontId="0" fillId="0" borderId="0" xfId="0" applyNumberFormat="1" applyFont="1" applyBorder="1" applyAlignment="1">
      <alignment horizontal="justify" vertical="center" wrapText="1"/>
    </xf>
    <xf numFmtId="0" fontId="0" fillId="0" borderId="0" xfId="0" applyFont="1" applyFill="1" applyBorder="1" applyAlignment="1">
      <alignment vertical="center"/>
    </xf>
    <xf numFmtId="0" fontId="24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 applyAlignment="1"/>
    <xf numFmtId="6" fontId="25" fillId="0" borderId="0" xfId="0" applyNumberFormat="1" applyFont="1" applyAlignment="1">
      <alignment horizontal="left"/>
    </xf>
    <xf numFmtId="3" fontId="0" fillId="0" borderId="0" xfId="0" applyNumberFormat="1" applyFont="1" applyAlignment="1">
      <alignment horizontal="left"/>
    </xf>
    <xf numFmtId="0" fontId="26" fillId="0" borderId="0" xfId="0" applyFont="1"/>
    <xf numFmtId="0" fontId="11" fillId="0" borderId="0" xfId="0" applyFont="1"/>
    <xf numFmtId="0" fontId="11" fillId="0" borderId="0" xfId="0" quotePrefix="1" applyFont="1" applyAlignment="1">
      <alignment horizontal="center"/>
    </xf>
    <xf numFmtId="3" fontId="0" fillId="0" borderId="0" xfId="0" quotePrefix="1" applyNumberFormat="1" applyFont="1" applyAlignment="1">
      <alignment horizontal="left"/>
    </xf>
    <xf numFmtId="2" fontId="26" fillId="0" borderId="0" xfId="0" applyNumberFormat="1" applyFont="1"/>
    <xf numFmtId="2" fontId="0" fillId="0" borderId="0" xfId="0" applyNumberFormat="1" applyFont="1" applyBorder="1"/>
    <xf numFmtId="2" fontId="0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25" fillId="0" borderId="0" xfId="0" applyFont="1"/>
    <xf numFmtId="6" fontId="0" fillId="0" borderId="0" xfId="0" applyNumberFormat="1" applyFont="1" applyAlignment="1">
      <alignment horizontal="left"/>
    </xf>
    <xf numFmtId="0" fontId="27" fillId="0" borderId="0" xfId="0" applyFont="1" applyAlignment="1"/>
    <xf numFmtId="0" fontId="27" fillId="0" borderId="0" xfId="0" applyFont="1"/>
    <xf numFmtId="0" fontId="0" fillId="0" borderId="0" xfId="0" applyAlignment="1">
      <alignment horizontal="right"/>
    </xf>
    <xf numFmtId="0" fontId="0" fillId="0" borderId="0" xfId="0" applyFont="1" applyAlignment="1">
      <alignment horizontal="center"/>
    </xf>
    <xf numFmtId="0" fontId="0" fillId="0" borderId="16" xfId="0" applyFont="1" applyBorder="1" applyAlignment="1">
      <alignment horizontal="left"/>
    </xf>
    <xf numFmtId="10" fontId="0" fillId="0" borderId="0" xfId="2" applyNumberFormat="1" applyFont="1" applyFill="1"/>
    <xf numFmtId="0" fontId="11" fillId="0" borderId="0" xfId="0" applyFont="1" applyFill="1"/>
    <xf numFmtId="3" fontId="0" fillId="0" borderId="0" xfId="0" applyNumberFormat="1"/>
    <xf numFmtId="168" fontId="0" fillId="0" borderId="0" xfId="0" applyNumberFormat="1"/>
    <xf numFmtId="168" fontId="1" fillId="0" borderId="0" xfId="0" applyNumberFormat="1" applyFont="1"/>
    <xf numFmtId="0" fontId="0" fillId="0" borderId="0" xfId="0" applyFill="1"/>
    <xf numFmtId="0" fontId="28" fillId="0" borderId="0" xfId="0" applyFont="1"/>
    <xf numFmtId="169" fontId="0" fillId="0" borderId="0" xfId="0" applyNumberFormat="1" applyFill="1"/>
    <xf numFmtId="0" fontId="29" fillId="0" borderId="0" xfId="0" applyFont="1"/>
    <xf numFmtId="10" fontId="0" fillId="0" borderId="0" xfId="2" applyNumberFormat="1" applyFont="1"/>
    <xf numFmtId="0" fontId="1" fillId="0" borderId="17" xfId="0" applyFont="1" applyBorder="1" applyAlignment="1">
      <alignment horizontal="center"/>
    </xf>
    <xf numFmtId="0" fontId="30" fillId="0" borderId="17" xfId="0" applyFont="1" applyBorder="1"/>
    <xf numFmtId="0" fontId="1" fillId="0" borderId="17" xfId="0" applyFont="1" applyBorder="1" applyAlignment="1">
      <alignment wrapText="1"/>
    </xf>
    <xf numFmtId="0" fontId="30" fillId="0" borderId="17" xfId="0" applyFont="1" applyBorder="1" applyAlignment="1">
      <alignment wrapText="1"/>
    </xf>
    <xf numFmtId="0" fontId="0" fillId="0" borderId="17" xfId="0" applyBorder="1" applyAlignment="1">
      <alignment horizontal="center"/>
    </xf>
    <xf numFmtId="0" fontId="11" fillId="0" borderId="17" xfId="0" applyFont="1" applyBorder="1"/>
    <xf numFmtId="168" fontId="0" fillId="0" borderId="17" xfId="0" applyNumberFormat="1" applyBorder="1"/>
    <xf numFmtId="2" fontId="0" fillId="0" borderId="17" xfId="0" applyNumberFormat="1" applyBorder="1"/>
    <xf numFmtId="0" fontId="0" fillId="0" borderId="17" xfId="0" applyBorder="1"/>
    <xf numFmtId="0" fontId="2" fillId="0" borderId="1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3" fontId="0" fillId="0" borderId="17" xfId="3" applyFont="1" applyBorder="1"/>
    <xf numFmtId="10" fontId="0" fillId="0" borderId="17" xfId="0" applyNumberFormat="1" applyBorder="1"/>
    <xf numFmtId="9" fontId="0" fillId="0" borderId="17" xfId="0" applyNumberFormat="1" applyBorder="1"/>
    <xf numFmtId="8" fontId="0" fillId="0" borderId="17" xfId="0" applyNumberFormat="1" applyFill="1" applyBorder="1"/>
    <xf numFmtId="10" fontId="0" fillId="0" borderId="0" xfId="2" applyNumberFormat="1" applyFont="1" applyBorder="1"/>
    <xf numFmtId="9" fontId="0" fillId="0" borderId="0" xfId="0" applyNumberFormat="1"/>
    <xf numFmtId="9" fontId="23" fillId="0" borderId="0" xfId="0" applyNumberFormat="1" applyFont="1"/>
    <xf numFmtId="8" fontId="0" fillId="0" borderId="0" xfId="0" applyNumberFormat="1"/>
    <xf numFmtId="0" fontId="31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32" fillId="0" borderId="0" xfId="0" applyFont="1"/>
    <xf numFmtId="0" fontId="23" fillId="0" borderId="0" xfId="0" applyFont="1"/>
    <xf numFmtId="0" fontId="0" fillId="0" borderId="0" xfId="0" applyFill="1" applyBorder="1"/>
    <xf numFmtId="10" fontId="0" fillId="0" borderId="0" xfId="0" applyNumberFormat="1"/>
    <xf numFmtId="3" fontId="0" fillId="0" borderId="0" xfId="0" applyNumberFormat="1" applyAlignment="1">
      <alignment horizontal="left"/>
    </xf>
    <xf numFmtId="0" fontId="31" fillId="0" borderId="0" xfId="0" applyFont="1"/>
    <xf numFmtId="0" fontId="1" fillId="0" borderId="0" xfId="0" applyFont="1" applyAlignment="1">
      <alignment horizontal="left"/>
    </xf>
    <xf numFmtId="9" fontId="0" fillId="0" borderId="0" xfId="0" applyNumberFormat="1" applyAlignment="1">
      <alignment horizontal="left"/>
    </xf>
    <xf numFmtId="0" fontId="33" fillId="0" borderId="0" xfId="0" applyFont="1"/>
    <xf numFmtId="0" fontId="34" fillId="0" borderId="0" xfId="0" applyFont="1" applyAlignment="1">
      <alignment vertical="center" readingOrder="1"/>
    </xf>
    <xf numFmtId="0" fontId="34" fillId="0" borderId="0" xfId="0" applyFont="1" applyAlignment="1">
      <alignment horizontal="left" vertical="center" indent="4" readingOrder="1"/>
    </xf>
    <xf numFmtId="10" fontId="0" fillId="0" borderId="23" xfId="0" applyNumberFormat="1" applyBorder="1"/>
    <xf numFmtId="170" fontId="0" fillId="0" borderId="0" xfId="4" applyNumberFormat="1" applyFont="1" applyBorder="1"/>
    <xf numFmtId="0" fontId="35" fillId="0" borderId="0" xfId="0" applyFont="1" applyBorder="1"/>
    <xf numFmtId="0" fontId="0" fillId="0" borderId="0" xfId="0" quotePrefix="1"/>
    <xf numFmtId="170" fontId="0" fillId="0" borderId="0" xfId="0" applyNumberFormat="1" applyBorder="1"/>
    <xf numFmtId="2" fontId="0" fillId="0" borderId="0" xfId="0" applyNumberFormat="1" applyBorder="1"/>
    <xf numFmtId="170" fontId="0" fillId="0" borderId="0" xfId="0" applyNumberFormat="1" applyFont="1"/>
    <xf numFmtId="49" fontId="0" fillId="0" borderId="0" xfId="0" applyNumberFormat="1" applyBorder="1" applyAlignment="1">
      <alignment horizontal="right"/>
    </xf>
    <xf numFmtId="49" fontId="0" fillId="0" borderId="0" xfId="0" applyNumberFormat="1" applyFill="1" applyBorder="1" applyAlignment="1">
      <alignment horizontal="right"/>
    </xf>
    <xf numFmtId="49" fontId="0" fillId="0" borderId="0" xfId="0" applyNumberFormat="1" applyFont="1" applyAlignment="1">
      <alignment horizontal="right"/>
    </xf>
    <xf numFmtId="2" fontId="0" fillId="0" borderId="0" xfId="0" applyNumberFormat="1" applyFill="1" applyBorder="1" applyAlignment="1">
      <alignment horizontal="right"/>
    </xf>
    <xf numFmtId="0" fontId="32" fillId="0" borderId="0" xfId="0" applyFont="1" applyBorder="1"/>
    <xf numFmtId="10" fontId="21" fillId="0" borderId="0" xfId="2" applyNumberFormat="1" applyFont="1"/>
    <xf numFmtId="3" fontId="0" fillId="0" borderId="24" xfId="0" applyNumberFormat="1" applyBorder="1"/>
    <xf numFmtId="2" fontId="0" fillId="0" borderId="24" xfId="0" applyNumberFormat="1" applyBorder="1"/>
    <xf numFmtId="3" fontId="0" fillId="0" borderId="25" xfId="0" applyNumberFormat="1" applyBorder="1"/>
    <xf numFmtId="2" fontId="0" fillId="0" borderId="25" xfId="0" applyNumberFormat="1" applyBorder="1"/>
    <xf numFmtId="3" fontId="0" fillId="0" borderId="26" xfId="0" applyNumberFormat="1" applyBorder="1"/>
    <xf numFmtId="2" fontId="0" fillId="0" borderId="26" xfId="0" applyNumberFormat="1" applyBorder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0" fillId="0" borderId="15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17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1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Font="1" applyBorder="1" applyAlignment="1">
      <alignment horizontal="left"/>
    </xf>
    <xf numFmtId="0" fontId="19" fillId="0" borderId="13" xfId="0" applyFont="1" applyBorder="1" applyAlignment="1">
      <alignment horizontal="left" vertical="center"/>
    </xf>
  </cellXfs>
  <cellStyles count="5">
    <cellStyle name="Comma" xfId="1" builtinId="3"/>
    <cellStyle name="Comma 2 2" xfId="3"/>
    <cellStyle name="Currency 2" xf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171449</xdr:colOff>
      <xdr:row>13</xdr:row>
      <xdr:rowOff>47625</xdr:rowOff>
    </xdr:from>
    <xdr:to>
      <xdr:col>2</xdr:col>
      <xdr:colOff>2057400</xdr:colOff>
      <xdr:row>17</xdr:row>
      <xdr:rowOff>38101</xdr:rowOff>
    </xdr:to>
    <xdr:pic>
      <xdr:nvPicPr>
        <xdr:cNvPr id="4" name="Picture 3" descr="Description: UJ_logo_ENG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29124" y="2847975"/>
          <a:ext cx="1885951" cy="1200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183</xdr:row>
          <xdr:rowOff>28575</xdr:rowOff>
        </xdr:from>
        <xdr:to>
          <xdr:col>2</xdr:col>
          <xdr:colOff>971550</xdr:colOff>
          <xdr:row>185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38100</xdr:colOff>
      <xdr:row>194</xdr:row>
      <xdr:rowOff>47625</xdr:rowOff>
    </xdr:from>
    <xdr:to>
      <xdr:col>2</xdr:col>
      <xdr:colOff>638175</xdr:colOff>
      <xdr:row>195</xdr:row>
      <xdr:rowOff>180975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3599" t="40654" r="45254" b="48974"/>
        <a:stretch/>
      </xdr:blipFill>
      <xdr:spPr>
        <a:xfrm>
          <a:off x="647700" y="8467725"/>
          <a:ext cx="1914525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Normal="100" workbookViewId="0"/>
  </sheetViews>
  <sheetFormatPr defaultRowHeight="15" x14ac:dyDescent="0.25"/>
  <cols>
    <col min="2" max="2" width="54.7109375" customWidth="1"/>
    <col min="3" max="3" width="33.28515625" customWidth="1"/>
    <col min="6" max="6" width="13" customWidth="1"/>
  </cols>
  <sheetData>
    <row r="1" spans="2:5" ht="15.75" x14ac:dyDescent="0.25">
      <c r="B1" s="3" t="s">
        <v>0</v>
      </c>
    </row>
    <row r="2" spans="2:5" ht="15.75" x14ac:dyDescent="0.25">
      <c r="B2" s="4" t="s">
        <v>12</v>
      </c>
    </row>
    <row r="3" spans="2:5" ht="15.75" x14ac:dyDescent="0.25">
      <c r="B3" s="4" t="s">
        <v>13</v>
      </c>
    </row>
    <row r="5" spans="2:5" ht="15.75" x14ac:dyDescent="0.25">
      <c r="B5" s="25" t="s">
        <v>19</v>
      </c>
    </row>
    <row r="6" spans="2:5" ht="15.75" x14ac:dyDescent="0.25">
      <c r="B6" s="5" t="s">
        <v>73</v>
      </c>
    </row>
    <row r="9" spans="2:5" ht="17.45" customHeight="1" x14ac:dyDescent="0.25">
      <c r="B9" s="6" t="s">
        <v>1</v>
      </c>
      <c r="C9" s="7" t="s">
        <v>20</v>
      </c>
      <c r="D9" s="8" t="s">
        <v>2</v>
      </c>
      <c r="E9" s="9">
        <v>100</v>
      </c>
    </row>
    <row r="10" spans="2:5" ht="15.75" x14ac:dyDescent="0.25">
      <c r="B10" s="6"/>
      <c r="C10" s="7"/>
      <c r="D10" s="8"/>
      <c r="E10" s="9"/>
    </row>
    <row r="11" spans="2:5" ht="15.75" x14ac:dyDescent="0.25">
      <c r="B11" s="6" t="s">
        <v>3</v>
      </c>
      <c r="C11" s="211" t="s">
        <v>15</v>
      </c>
      <c r="D11" s="211"/>
      <c r="E11" s="211"/>
    </row>
    <row r="12" spans="2:5" ht="15.75" x14ac:dyDescent="0.25">
      <c r="B12" s="6" t="s">
        <v>4</v>
      </c>
      <c r="C12" s="212" t="s">
        <v>152</v>
      </c>
      <c r="D12" s="212"/>
      <c r="E12" s="212"/>
    </row>
    <row r="13" spans="2:5" ht="16.5" thickBot="1" x14ac:dyDescent="0.3">
      <c r="B13" s="28"/>
      <c r="C13" s="211"/>
      <c r="D13" s="211"/>
      <c r="E13" s="211"/>
    </row>
    <row r="14" spans="2:5" ht="16.5" thickTop="1" x14ac:dyDescent="0.25">
      <c r="B14" s="10" t="s">
        <v>5</v>
      </c>
    </row>
    <row r="15" spans="2:5" ht="31.5" x14ac:dyDescent="0.25">
      <c r="B15" s="11" t="s">
        <v>278</v>
      </c>
    </row>
    <row r="16" spans="2:5" ht="31.5" x14ac:dyDescent="0.25">
      <c r="B16" s="11" t="s">
        <v>6</v>
      </c>
    </row>
    <row r="17" spans="1:5" ht="15.75" x14ac:dyDescent="0.25">
      <c r="B17" s="11" t="s">
        <v>7</v>
      </c>
    </row>
    <row r="18" spans="1:5" ht="31.5" x14ac:dyDescent="0.25">
      <c r="B18" s="11" t="s">
        <v>8</v>
      </c>
    </row>
    <row r="19" spans="1:5" ht="32.25" thickBot="1" x14ac:dyDescent="0.3">
      <c r="B19" s="12" t="s">
        <v>9</v>
      </c>
    </row>
    <row r="20" spans="1:5" ht="31.15" customHeight="1" thickTop="1" thickBot="1" x14ac:dyDescent="0.3">
      <c r="B20" s="13"/>
    </row>
    <row r="21" spans="1:5" ht="17.25" thickBot="1" x14ac:dyDescent="0.3">
      <c r="A21" s="24"/>
      <c r="B21" s="14" t="s">
        <v>17</v>
      </c>
      <c r="C21" s="15" t="s">
        <v>16</v>
      </c>
      <c r="D21" s="15" t="s">
        <v>10</v>
      </c>
      <c r="E21" s="14" t="s">
        <v>11</v>
      </c>
    </row>
    <row r="22" spans="1:5" ht="33" x14ac:dyDescent="0.25">
      <c r="A22" s="24"/>
      <c r="B22" s="16">
        <v>2</v>
      </c>
      <c r="C22" s="17" t="s">
        <v>21</v>
      </c>
      <c r="D22" s="17">
        <v>20</v>
      </c>
      <c r="E22" s="18" t="s">
        <v>22</v>
      </c>
    </row>
    <row r="23" spans="1:5" ht="33" x14ac:dyDescent="0.25">
      <c r="A23" s="24"/>
      <c r="B23" s="16">
        <v>3</v>
      </c>
      <c r="C23" s="17">
        <v>14</v>
      </c>
      <c r="D23" s="17">
        <v>20</v>
      </c>
      <c r="E23" s="18" t="s">
        <v>22</v>
      </c>
    </row>
    <row r="24" spans="1:5" ht="33" x14ac:dyDescent="0.25">
      <c r="A24" s="24"/>
      <c r="B24" s="16">
        <v>4</v>
      </c>
      <c r="C24" s="17">
        <v>4</v>
      </c>
      <c r="D24" s="17">
        <v>20</v>
      </c>
      <c r="E24" s="18" t="s">
        <v>22</v>
      </c>
    </row>
    <row r="25" spans="1:5" ht="33" x14ac:dyDescent="0.25">
      <c r="A25" s="24"/>
      <c r="B25" s="16">
        <v>5</v>
      </c>
      <c r="C25" s="17">
        <v>5</v>
      </c>
      <c r="D25" s="17">
        <v>20</v>
      </c>
      <c r="E25" s="18" t="s">
        <v>22</v>
      </c>
    </row>
    <row r="26" spans="1:5" ht="33" x14ac:dyDescent="0.25">
      <c r="A26" s="24"/>
      <c r="B26" s="16">
        <v>6</v>
      </c>
      <c r="C26" s="17">
        <v>6</v>
      </c>
      <c r="D26" s="17">
        <v>20</v>
      </c>
      <c r="E26" s="18" t="s">
        <v>22</v>
      </c>
    </row>
    <row r="27" spans="1:5" ht="33.75" thickBot="1" x14ac:dyDescent="0.3">
      <c r="A27" s="26"/>
      <c r="B27" s="27"/>
      <c r="C27" s="20"/>
      <c r="D27" s="21">
        <f>SUM(D22:D26)</f>
        <v>100</v>
      </c>
      <c r="E27" s="19" t="s">
        <v>20</v>
      </c>
    </row>
  </sheetData>
  <mergeCells count="3">
    <mergeCell ref="C11:E11"/>
    <mergeCell ref="C12:E12"/>
    <mergeCell ref="C13:E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09"/>
  <sheetViews>
    <sheetView tabSelected="1" workbookViewId="0"/>
  </sheetViews>
  <sheetFormatPr defaultRowHeight="15" x14ac:dyDescent="0.25"/>
  <cols>
    <col min="1" max="1" width="11.7109375" customWidth="1"/>
    <col min="2" max="2" width="19.7109375" customWidth="1"/>
    <col min="3" max="5" width="14.7109375" customWidth="1"/>
    <col min="6" max="6" width="13.7109375" customWidth="1"/>
    <col min="7" max="7" width="12.7109375" customWidth="1"/>
    <col min="8" max="10" width="10.7109375" customWidth="1"/>
    <col min="11" max="11" width="9.7109375" customWidth="1"/>
  </cols>
  <sheetData>
    <row r="1" spans="1:9" x14ac:dyDescent="0.25">
      <c r="A1" s="1" t="s">
        <v>212</v>
      </c>
      <c r="B1" s="22"/>
      <c r="C1" s="1"/>
      <c r="H1" s="22" t="s">
        <v>14</v>
      </c>
      <c r="I1" s="22">
        <f>E96+E101+H107+H115+H123+H129+H135+H141+F145+F148+F151+I9+I18+I27+I36+I50+I59+H62+H64+H66+H68+H71+H78+G164+F182+F188+G193+F198+E206+G215+G224+L227+L233+L239+L241+L247+L254+H279+H288+H296+H303+H309</f>
        <v>100</v>
      </c>
    </row>
    <row r="2" spans="1:9" x14ac:dyDescent="0.25">
      <c r="A2" s="1" t="s">
        <v>71</v>
      </c>
    </row>
    <row r="3" spans="1:9" x14ac:dyDescent="0.25">
      <c r="A3" s="22" t="s">
        <v>156</v>
      </c>
      <c r="B3" s="22" t="s">
        <v>157</v>
      </c>
      <c r="C3" s="230" t="s">
        <v>158</v>
      </c>
      <c r="D3" s="230"/>
      <c r="E3" s="129" t="s">
        <v>159</v>
      </c>
      <c r="F3" s="22"/>
      <c r="G3" s="22"/>
      <c r="H3" s="130"/>
      <c r="I3" s="131"/>
    </row>
    <row r="4" spans="1:9" x14ac:dyDescent="0.25">
      <c r="A4" s="22"/>
      <c r="B4" s="22"/>
      <c r="C4" s="231" t="s">
        <v>161</v>
      </c>
      <c r="D4" s="231"/>
      <c r="E4" s="132"/>
      <c r="F4" s="22"/>
      <c r="G4" s="22"/>
      <c r="I4" s="131"/>
    </row>
    <row r="5" spans="1:9" x14ac:dyDescent="0.25">
      <c r="A5" s="22"/>
      <c r="B5" s="22"/>
      <c r="C5" s="22"/>
      <c r="D5" s="22"/>
      <c r="E5" s="22"/>
      <c r="F5" s="22"/>
      <c r="G5" s="22"/>
      <c r="I5" s="131"/>
    </row>
    <row r="6" spans="1:9" x14ac:dyDescent="0.25">
      <c r="A6" s="22"/>
      <c r="B6" s="22"/>
      <c r="C6" s="133">
        <v>103400</v>
      </c>
      <c r="D6" s="72" t="s">
        <v>114</v>
      </c>
      <c r="E6" s="63"/>
      <c r="F6" s="63"/>
      <c r="G6" s="22"/>
      <c r="I6" s="131"/>
    </row>
    <row r="7" spans="1:9" x14ac:dyDescent="0.25">
      <c r="A7" s="22"/>
      <c r="B7" s="22"/>
      <c r="C7" s="134">
        <v>420000</v>
      </c>
      <c r="D7" s="72" t="s">
        <v>114</v>
      </c>
      <c r="E7" s="22"/>
      <c r="F7" s="22"/>
      <c r="G7" s="22"/>
      <c r="I7" s="131"/>
    </row>
    <row r="8" spans="1:9" x14ac:dyDescent="0.25">
      <c r="A8" s="22"/>
      <c r="B8" s="135"/>
      <c r="C8" s="22"/>
      <c r="D8" s="22"/>
      <c r="E8" s="22"/>
      <c r="F8" s="22"/>
      <c r="G8" s="22"/>
      <c r="I8" s="131"/>
    </row>
    <row r="9" spans="1:9" x14ac:dyDescent="0.25">
      <c r="A9" s="22"/>
      <c r="B9" s="22" t="s">
        <v>157</v>
      </c>
      <c r="C9" s="22" t="s">
        <v>162</v>
      </c>
      <c r="D9" s="63"/>
      <c r="E9" s="22"/>
      <c r="F9" s="22"/>
      <c r="G9" s="22"/>
      <c r="H9" s="130" t="s">
        <v>160</v>
      </c>
      <c r="I9" s="147">
        <v>2</v>
      </c>
    </row>
    <row r="10" spans="1:9" x14ac:dyDescent="0.25">
      <c r="A10" s="22"/>
      <c r="B10" s="135"/>
      <c r="C10" s="135" t="s">
        <v>163</v>
      </c>
      <c r="D10" s="22"/>
      <c r="E10" s="22"/>
      <c r="F10" s="22"/>
      <c r="G10" s="22"/>
      <c r="I10" s="131"/>
    </row>
    <row r="11" spans="1:9" x14ac:dyDescent="0.25">
      <c r="A11" s="22"/>
      <c r="B11" s="135"/>
      <c r="C11" s="22"/>
      <c r="D11" s="22"/>
      <c r="E11" s="135"/>
      <c r="F11" s="22"/>
      <c r="G11" s="22"/>
      <c r="I11" s="131"/>
    </row>
    <row r="12" spans="1:9" x14ac:dyDescent="0.25">
      <c r="A12" s="23" t="s">
        <v>164</v>
      </c>
      <c r="B12" s="22" t="s">
        <v>165</v>
      </c>
      <c r="C12" s="230" t="s">
        <v>166</v>
      </c>
      <c r="D12" s="230"/>
      <c r="E12" s="136"/>
      <c r="F12" s="22"/>
      <c r="G12" s="22"/>
      <c r="H12" s="130"/>
      <c r="I12" s="131"/>
    </row>
    <row r="13" spans="1:9" x14ac:dyDescent="0.25">
      <c r="A13" s="23"/>
      <c r="B13" s="22"/>
      <c r="C13" s="231" t="s">
        <v>161</v>
      </c>
      <c r="D13" s="231"/>
      <c r="E13" s="22"/>
      <c r="F13" s="22"/>
      <c r="G13" s="22"/>
      <c r="I13" s="131"/>
    </row>
    <row r="14" spans="1:9" x14ac:dyDescent="0.25">
      <c r="A14" s="23"/>
      <c r="B14" s="22"/>
      <c r="C14" s="22"/>
      <c r="D14" s="22"/>
      <c r="E14" s="22"/>
      <c r="F14" s="22"/>
      <c r="G14" s="22"/>
      <c r="I14" s="131"/>
    </row>
    <row r="15" spans="1:9" x14ac:dyDescent="0.25">
      <c r="A15" s="23"/>
      <c r="B15" s="22"/>
      <c r="C15" s="133">
        <v>85000</v>
      </c>
      <c r="D15" s="72" t="s">
        <v>114</v>
      </c>
      <c r="E15" s="63"/>
      <c r="F15" s="22"/>
      <c r="G15" s="22"/>
      <c r="I15" s="131"/>
    </row>
    <row r="16" spans="1:9" x14ac:dyDescent="0.25">
      <c r="A16" s="23"/>
      <c r="B16" s="22"/>
      <c r="C16" s="134">
        <v>420000</v>
      </c>
      <c r="D16" s="72" t="s">
        <v>114</v>
      </c>
      <c r="E16" s="22"/>
      <c r="F16" s="22"/>
      <c r="G16" s="22"/>
      <c r="I16" s="131"/>
    </row>
    <row r="17" spans="1:9" x14ac:dyDescent="0.25">
      <c r="A17" s="23"/>
      <c r="B17" s="22"/>
      <c r="C17" s="22"/>
      <c r="D17" s="22"/>
      <c r="E17" s="22"/>
      <c r="F17" s="22"/>
      <c r="G17" s="22"/>
      <c r="I17" s="131"/>
    </row>
    <row r="18" spans="1:9" x14ac:dyDescent="0.25">
      <c r="A18" s="23"/>
      <c r="B18" s="22" t="s">
        <v>165</v>
      </c>
      <c r="C18" s="22" t="s">
        <v>167</v>
      </c>
      <c r="D18" s="22"/>
      <c r="E18" s="22"/>
      <c r="F18" s="22"/>
      <c r="G18" s="22"/>
      <c r="H18" s="130" t="s">
        <v>160</v>
      </c>
      <c r="I18" s="147">
        <v>2</v>
      </c>
    </row>
    <row r="19" spans="1:9" x14ac:dyDescent="0.25">
      <c r="A19" s="23"/>
      <c r="B19" s="22"/>
      <c r="C19" s="135" t="s">
        <v>163</v>
      </c>
      <c r="D19" s="22"/>
      <c r="E19" s="135"/>
      <c r="F19" s="22"/>
      <c r="G19" s="22"/>
      <c r="H19" s="130"/>
      <c r="I19" s="131"/>
    </row>
    <row r="20" spans="1:9" x14ac:dyDescent="0.25">
      <c r="A20" s="23"/>
      <c r="B20" s="22"/>
      <c r="C20" s="22"/>
      <c r="D20" s="22"/>
      <c r="E20" s="136"/>
      <c r="F20" s="22"/>
      <c r="G20" s="22"/>
      <c r="I20" s="131"/>
    </row>
    <row r="21" spans="1:9" x14ac:dyDescent="0.25">
      <c r="A21" s="22" t="s">
        <v>168</v>
      </c>
      <c r="B21" s="22" t="s">
        <v>169</v>
      </c>
      <c r="C21" s="230" t="s">
        <v>170</v>
      </c>
      <c r="D21" s="230"/>
      <c r="E21" s="22"/>
      <c r="F21" s="83"/>
      <c r="G21" s="22"/>
      <c r="H21" s="130"/>
      <c r="I21" s="131"/>
    </row>
    <row r="22" spans="1:9" x14ac:dyDescent="0.25">
      <c r="A22" s="22"/>
      <c r="B22" s="22"/>
      <c r="C22" s="233" t="s">
        <v>171</v>
      </c>
      <c r="D22" s="233"/>
      <c r="E22" s="22"/>
      <c r="F22" s="22"/>
      <c r="G22" s="22"/>
      <c r="I22" s="137"/>
    </row>
    <row r="23" spans="1:9" x14ac:dyDescent="0.25">
      <c r="A23" s="22"/>
      <c r="B23" s="22"/>
      <c r="C23" s="22"/>
      <c r="D23" s="22"/>
      <c r="E23" s="22"/>
      <c r="F23" s="22"/>
      <c r="G23" s="22"/>
      <c r="I23" s="131"/>
    </row>
    <row r="24" spans="1:9" x14ac:dyDescent="0.25">
      <c r="A24" s="22"/>
      <c r="B24" s="135"/>
      <c r="C24" s="133">
        <v>16</v>
      </c>
      <c r="D24" s="72" t="s">
        <v>114</v>
      </c>
      <c r="E24" s="22"/>
      <c r="F24" s="22"/>
      <c r="G24" s="22"/>
      <c r="I24" s="131"/>
    </row>
    <row r="25" spans="1:9" x14ac:dyDescent="0.25">
      <c r="A25" s="22"/>
      <c r="B25" s="135"/>
      <c r="C25" s="138" t="s">
        <v>172</v>
      </c>
      <c r="D25" s="72" t="s">
        <v>114</v>
      </c>
      <c r="E25" s="139" t="s">
        <v>173</v>
      </c>
      <c r="F25" s="22"/>
      <c r="G25" s="22"/>
      <c r="I25" s="131"/>
    </row>
    <row r="26" spans="1:9" x14ac:dyDescent="0.25">
      <c r="A26" s="22"/>
      <c r="B26" s="22"/>
      <c r="C26" s="22"/>
      <c r="D26" s="22"/>
      <c r="E26" s="22"/>
      <c r="F26" s="22"/>
      <c r="G26" s="22"/>
      <c r="I26" s="131"/>
    </row>
    <row r="27" spans="1:9" x14ac:dyDescent="0.25">
      <c r="A27" s="22"/>
      <c r="B27" s="22" t="s">
        <v>169</v>
      </c>
      <c r="C27" s="94">
        <v>64</v>
      </c>
      <c r="D27" s="22"/>
      <c r="E27" s="22"/>
      <c r="F27" s="22"/>
      <c r="G27" s="22"/>
      <c r="H27" s="130" t="s">
        <v>160</v>
      </c>
      <c r="I27" s="147">
        <v>2</v>
      </c>
    </row>
    <row r="28" spans="1:9" x14ac:dyDescent="0.25">
      <c r="A28" s="22"/>
      <c r="B28" s="22"/>
      <c r="C28" s="135" t="s">
        <v>174</v>
      </c>
      <c r="D28" s="22"/>
      <c r="E28" s="135"/>
      <c r="F28" s="22"/>
      <c r="G28" s="22"/>
      <c r="H28" s="130"/>
      <c r="I28" s="131"/>
    </row>
    <row r="29" spans="1:9" x14ac:dyDescent="0.25">
      <c r="A29" s="22"/>
      <c r="B29" s="22"/>
      <c r="C29" s="22"/>
      <c r="D29" s="22"/>
      <c r="E29" s="22"/>
      <c r="F29" s="22"/>
      <c r="G29" s="22"/>
      <c r="I29" s="131"/>
    </row>
    <row r="30" spans="1:9" x14ac:dyDescent="0.25">
      <c r="A30" s="22" t="s">
        <v>175</v>
      </c>
      <c r="B30" s="22" t="s">
        <v>176</v>
      </c>
      <c r="C30" s="230" t="s">
        <v>177</v>
      </c>
      <c r="D30" s="230"/>
      <c r="E30" s="22"/>
      <c r="F30" s="22"/>
      <c r="G30" s="22"/>
      <c r="H30" s="130"/>
      <c r="I30" s="131"/>
    </row>
    <row r="31" spans="1:9" x14ac:dyDescent="0.25">
      <c r="A31" s="22"/>
      <c r="B31" s="22"/>
      <c r="C31" s="233" t="s">
        <v>158</v>
      </c>
      <c r="D31" s="233"/>
      <c r="E31" s="22"/>
      <c r="F31" s="22"/>
      <c r="G31" s="22"/>
      <c r="I31" s="131"/>
    </row>
    <row r="32" spans="1:9" x14ac:dyDescent="0.25">
      <c r="A32" s="22"/>
      <c r="B32" s="22"/>
      <c r="C32" s="22"/>
      <c r="D32" s="22"/>
      <c r="E32" s="22"/>
      <c r="F32" s="22"/>
      <c r="G32" s="22"/>
      <c r="I32" s="131"/>
    </row>
    <row r="33" spans="1:9" x14ac:dyDescent="0.25">
      <c r="A33" s="22"/>
      <c r="B33" s="136"/>
      <c r="C33" s="133">
        <v>85000</v>
      </c>
      <c r="D33" s="72" t="s">
        <v>114</v>
      </c>
      <c r="E33" s="140"/>
      <c r="F33" s="22"/>
      <c r="G33" s="22"/>
      <c r="I33" s="131"/>
    </row>
    <row r="34" spans="1:9" x14ac:dyDescent="0.25">
      <c r="A34" s="22"/>
      <c r="B34" s="136"/>
      <c r="C34" s="134">
        <v>103400</v>
      </c>
      <c r="D34" s="72" t="s">
        <v>114</v>
      </c>
      <c r="E34" s="44"/>
      <c r="F34" s="22"/>
      <c r="G34" s="22"/>
      <c r="I34" s="131"/>
    </row>
    <row r="35" spans="1:9" x14ac:dyDescent="0.25">
      <c r="A35" s="22"/>
      <c r="B35" s="22"/>
      <c r="C35" s="22"/>
      <c r="D35" s="22"/>
      <c r="E35" s="22"/>
      <c r="F35" s="22"/>
      <c r="G35" s="22"/>
      <c r="I35" s="131"/>
    </row>
    <row r="36" spans="1:9" x14ac:dyDescent="0.25">
      <c r="A36" s="22"/>
      <c r="B36" s="22" t="s">
        <v>176</v>
      </c>
      <c r="C36" s="141">
        <f>85000/103400</f>
        <v>0.82205029013539654</v>
      </c>
      <c r="D36" s="22" t="s">
        <v>59</v>
      </c>
      <c r="E36" s="135"/>
      <c r="F36" s="22"/>
      <c r="G36" s="22"/>
      <c r="H36" s="130" t="s">
        <v>160</v>
      </c>
      <c r="I36" s="147">
        <v>2</v>
      </c>
    </row>
    <row r="37" spans="1:9" x14ac:dyDescent="0.25">
      <c r="A37" s="22"/>
      <c r="B37" s="22"/>
      <c r="C37" s="22"/>
      <c r="D37" s="55" t="s">
        <v>178</v>
      </c>
      <c r="E37" s="22"/>
      <c r="F37" s="22"/>
      <c r="G37" s="22"/>
      <c r="I37" s="131"/>
    </row>
    <row r="38" spans="1:9" x14ac:dyDescent="0.25">
      <c r="A38" s="23" t="s">
        <v>179</v>
      </c>
      <c r="B38" s="22" t="s">
        <v>180</v>
      </c>
      <c r="C38" s="230" t="s">
        <v>158</v>
      </c>
      <c r="D38" s="230"/>
      <c r="E38" s="22"/>
      <c r="F38" s="136"/>
      <c r="G38" s="22"/>
      <c r="H38" s="130"/>
      <c r="I38" s="131"/>
    </row>
    <row r="39" spans="1:9" x14ac:dyDescent="0.25">
      <c r="A39" s="23"/>
      <c r="B39" s="22"/>
      <c r="C39" s="233" t="s">
        <v>177</v>
      </c>
      <c r="D39" s="233"/>
      <c r="E39" s="22"/>
      <c r="F39" s="22"/>
      <c r="G39" s="22"/>
      <c r="I39" s="131"/>
    </row>
    <row r="40" spans="1:9" x14ac:dyDescent="0.25">
      <c r="A40" s="23"/>
      <c r="B40" s="22"/>
      <c r="C40" s="22"/>
      <c r="D40" s="22"/>
      <c r="E40" s="22"/>
      <c r="F40" s="22"/>
      <c r="G40" s="22"/>
      <c r="I40" s="131"/>
    </row>
    <row r="41" spans="1:9" x14ac:dyDescent="0.25">
      <c r="A41" s="23"/>
      <c r="B41" s="22"/>
      <c r="C41" s="133">
        <v>103400</v>
      </c>
      <c r="D41" s="72" t="s">
        <v>114</v>
      </c>
      <c r="E41" s="22"/>
      <c r="F41" s="22"/>
      <c r="G41" s="22"/>
      <c r="I41" s="131"/>
    </row>
    <row r="42" spans="1:9" x14ac:dyDescent="0.25">
      <c r="A42" s="23"/>
      <c r="B42" s="22"/>
      <c r="C42" s="134">
        <v>85000</v>
      </c>
      <c r="D42" s="72" t="s">
        <v>114</v>
      </c>
      <c r="E42" s="22"/>
      <c r="F42" s="22"/>
      <c r="G42" s="22"/>
      <c r="I42" s="131"/>
    </row>
    <row r="43" spans="1:9" x14ac:dyDescent="0.25">
      <c r="A43" s="23"/>
      <c r="B43" s="22"/>
      <c r="C43" s="22"/>
      <c r="D43" s="22"/>
      <c r="E43" s="22"/>
      <c r="F43" s="22"/>
      <c r="G43" s="22"/>
      <c r="I43" s="131"/>
    </row>
    <row r="44" spans="1:9" x14ac:dyDescent="0.25">
      <c r="A44" s="23"/>
      <c r="B44" s="22" t="s">
        <v>180</v>
      </c>
      <c r="C44" s="141">
        <f>103400/85000</f>
        <v>1.2164705882352942</v>
      </c>
      <c r="D44" s="22" t="s">
        <v>59</v>
      </c>
      <c r="E44" s="135"/>
      <c r="F44" s="22"/>
      <c r="G44" s="22"/>
      <c r="H44" s="130" t="s">
        <v>160</v>
      </c>
    </row>
    <row r="45" spans="1:9" x14ac:dyDescent="0.25">
      <c r="A45" s="23"/>
      <c r="B45" s="22"/>
      <c r="C45" s="22"/>
      <c r="D45" s="22"/>
      <c r="E45" s="135"/>
      <c r="F45" s="22"/>
      <c r="G45" s="22"/>
      <c r="I45" s="131"/>
    </row>
    <row r="46" spans="1:9" x14ac:dyDescent="0.25">
      <c r="A46" s="232" t="s">
        <v>100</v>
      </c>
      <c r="B46" s="232"/>
      <c r="C46" s="232"/>
      <c r="D46" s="232"/>
      <c r="E46" s="232"/>
      <c r="F46" s="232"/>
      <c r="G46" s="232"/>
      <c r="H46" s="232"/>
      <c r="I46" s="131"/>
    </row>
    <row r="47" spans="1:9" x14ac:dyDescent="0.25">
      <c r="A47" s="142"/>
      <c r="B47" s="142"/>
      <c r="C47" s="142"/>
      <c r="D47" s="142"/>
      <c r="E47" s="142"/>
      <c r="F47" s="142"/>
      <c r="G47" s="142"/>
      <c r="H47" s="142"/>
      <c r="I47" s="131"/>
    </row>
    <row r="48" spans="1:9" x14ac:dyDescent="0.25">
      <c r="A48" s="23"/>
      <c r="B48" s="98"/>
      <c r="C48" s="83" t="s">
        <v>181</v>
      </c>
      <c r="D48" s="22"/>
      <c r="E48" s="135"/>
      <c r="F48" s="22"/>
      <c r="G48" s="22"/>
      <c r="H48" s="130"/>
      <c r="I48" s="131"/>
    </row>
    <row r="49" spans="1:9" x14ac:dyDescent="0.25">
      <c r="A49" s="23"/>
      <c r="B49" s="22" t="s">
        <v>180</v>
      </c>
      <c r="C49" s="22" t="s">
        <v>182</v>
      </c>
      <c r="D49" s="22"/>
      <c r="E49" s="22"/>
      <c r="F49" s="22"/>
      <c r="G49" s="22"/>
      <c r="H49" s="130"/>
      <c r="I49" s="131"/>
    </row>
    <row r="50" spans="1:9" x14ac:dyDescent="0.25">
      <c r="A50" s="23"/>
      <c r="B50" s="22" t="s">
        <v>180</v>
      </c>
      <c r="C50" s="141">
        <f>1/0.82</f>
        <v>1.2195121951219512</v>
      </c>
      <c r="D50" s="22" t="s">
        <v>59</v>
      </c>
      <c r="E50" s="22"/>
      <c r="F50" s="22"/>
      <c r="G50" s="22"/>
      <c r="H50" s="130" t="s">
        <v>160</v>
      </c>
      <c r="I50" s="147">
        <v>2</v>
      </c>
    </row>
    <row r="51" spans="1:9" x14ac:dyDescent="0.25">
      <c r="A51" s="23"/>
      <c r="B51" s="22"/>
      <c r="C51" s="135" t="s">
        <v>183</v>
      </c>
      <c r="D51" s="22"/>
      <c r="E51" s="135"/>
      <c r="F51" s="22"/>
      <c r="G51" s="22"/>
      <c r="H51" s="130"/>
      <c r="I51" s="131"/>
    </row>
    <row r="52" spans="1:9" x14ac:dyDescent="0.25">
      <c r="A52" s="23"/>
      <c r="B52" s="22"/>
      <c r="C52" s="22"/>
      <c r="D52" s="22"/>
      <c r="E52" s="22"/>
      <c r="F52" s="22"/>
      <c r="G52" s="22"/>
      <c r="I52" s="131"/>
    </row>
    <row r="53" spans="1:9" x14ac:dyDescent="0.25">
      <c r="A53" s="22" t="s">
        <v>184</v>
      </c>
      <c r="B53" s="22" t="s">
        <v>185</v>
      </c>
      <c r="C53" s="143" t="s">
        <v>186</v>
      </c>
      <c r="D53" s="22"/>
      <c r="E53" s="22"/>
      <c r="F53" s="22"/>
      <c r="G53" s="22"/>
      <c r="H53" s="130"/>
      <c r="I53" s="131"/>
    </row>
    <row r="54" spans="1:9" x14ac:dyDescent="0.25">
      <c r="A54" s="22"/>
      <c r="B54" s="22"/>
      <c r="C54" s="22" t="s">
        <v>187</v>
      </c>
      <c r="D54" s="22"/>
      <c r="E54" s="22"/>
      <c r="F54" s="22"/>
      <c r="G54" s="22"/>
      <c r="I54" s="131"/>
    </row>
    <row r="55" spans="1:9" x14ac:dyDescent="0.25">
      <c r="A55" s="22"/>
      <c r="B55" s="22"/>
      <c r="C55" s="22"/>
      <c r="D55" s="22"/>
      <c r="E55" s="22"/>
      <c r="F55" s="22"/>
      <c r="G55" s="22"/>
      <c r="I55" s="131"/>
    </row>
    <row r="56" spans="1:9" x14ac:dyDescent="0.25">
      <c r="A56" s="22"/>
      <c r="B56" s="22"/>
      <c r="C56" s="133">
        <f>420000*16</f>
        <v>6720000</v>
      </c>
      <c r="D56" s="72" t="s">
        <v>114</v>
      </c>
      <c r="E56" s="129" t="s">
        <v>188</v>
      </c>
      <c r="F56" s="22"/>
      <c r="G56" s="22"/>
      <c r="I56" s="131"/>
    </row>
    <row r="57" spans="1:9" x14ac:dyDescent="0.25">
      <c r="A57" s="22"/>
      <c r="B57" s="22"/>
      <c r="C57" s="144">
        <v>2650000</v>
      </c>
      <c r="D57" s="72" t="s">
        <v>114</v>
      </c>
      <c r="E57" s="129"/>
      <c r="F57" s="22"/>
      <c r="G57" s="22"/>
      <c r="I57" s="131"/>
    </row>
    <row r="58" spans="1:9" x14ac:dyDescent="0.25">
      <c r="A58" s="22"/>
      <c r="B58" s="22"/>
      <c r="C58" s="22"/>
      <c r="D58" s="22"/>
      <c r="E58" s="22"/>
      <c r="F58" s="22"/>
      <c r="G58" s="22"/>
      <c r="I58" s="131"/>
    </row>
    <row r="59" spans="1:9" x14ac:dyDescent="0.25">
      <c r="A59" s="22"/>
      <c r="B59" s="22" t="s">
        <v>185</v>
      </c>
      <c r="C59" s="141">
        <f>6720000/2650000</f>
        <v>2.5358490566037735</v>
      </c>
      <c r="D59" s="22" t="s">
        <v>59</v>
      </c>
      <c r="E59" s="22"/>
      <c r="F59" s="22"/>
      <c r="G59" s="22"/>
      <c r="H59" s="130" t="s">
        <v>160</v>
      </c>
      <c r="I59" s="147">
        <v>2</v>
      </c>
    </row>
    <row r="60" spans="1:9" x14ac:dyDescent="0.25">
      <c r="A60" s="22"/>
      <c r="B60" s="22"/>
      <c r="C60" s="135" t="s">
        <v>183</v>
      </c>
      <c r="D60" s="22"/>
      <c r="E60" s="135"/>
      <c r="F60" s="22"/>
      <c r="G60" s="22"/>
      <c r="H60" s="130"/>
      <c r="I60" s="131"/>
    </row>
    <row r="61" spans="1:9" x14ac:dyDescent="0.25">
      <c r="A61" s="22"/>
      <c r="B61" s="22"/>
      <c r="C61" s="135"/>
      <c r="D61" s="22"/>
      <c r="E61" s="135"/>
      <c r="F61" s="22"/>
      <c r="G61" s="22"/>
      <c r="H61" s="130"/>
      <c r="I61" s="131"/>
    </row>
    <row r="62" spans="1:9" x14ac:dyDescent="0.25">
      <c r="A62" s="29" t="s">
        <v>189</v>
      </c>
      <c r="B62" t="s">
        <v>190</v>
      </c>
      <c r="C62" s="22" t="s">
        <v>191</v>
      </c>
      <c r="G62" s="130" t="s">
        <v>160</v>
      </c>
      <c r="H62" s="147">
        <v>1</v>
      </c>
    </row>
    <row r="63" spans="1:9" x14ac:dyDescent="0.25">
      <c r="B63" s="135"/>
      <c r="H63" s="131"/>
    </row>
    <row r="64" spans="1:9" x14ac:dyDescent="0.25">
      <c r="A64" t="s">
        <v>192</v>
      </c>
      <c r="B64" t="s">
        <v>193</v>
      </c>
      <c r="C64" s="22" t="s">
        <v>194</v>
      </c>
      <c r="G64" s="130" t="s">
        <v>160</v>
      </c>
      <c r="H64" s="147">
        <v>1</v>
      </c>
    </row>
    <row r="65" spans="1:8" x14ac:dyDescent="0.25">
      <c r="C65" s="135"/>
      <c r="G65" s="136"/>
      <c r="H65" s="137"/>
    </row>
    <row r="66" spans="1:8" x14ac:dyDescent="0.25">
      <c r="A66" t="s">
        <v>195</v>
      </c>
      <c r="B66" t="s">
        <v>196</v>
      </c>
      <c r="C66" s="145" t="s">
        <v>197</v>
      </c>
      <c r="G66" s="130" t="s">
        <v>160</v>
      </c>
      <c r="H66" s="147">
        <v>1</v>
      </c>
    </row>
    <row r="67" spans="1:8" x14ac:dyDescent="0.25">
      <c r="C67" s="22"/>
      <c r="G67" s="130"/>
      <c r="H67" s="131"/>
    </row>
    <row r="68" spans="1:8" x14ac:dyDescent="0.25">
      <c r="A68" t="s">
        <v>198</v>
      </c>
      <c r="B68" t="s">
        <v>199</v>
      </c>
      <c r="C68" s="22" t="s">
        <v>200</v>
      </c>
      <c r="G68" s="130" t="s">
        <v>160</v>
      </c>
      <c r="H68" s="147">
        <v>1</v>
      </c>
    </row>
    <row r="69" spans="1:8" x14ac:dyDescent="0.25">
      <c r="C69" s="22"/>
      <c r="G69" s="130"/>
      <c r="H69" s="131"/>
    </row>
    <row r="70" spans="1:8" x14ac:dyDescent="0.25">
      <c r="A70" t="s">
        <v>201</v>
      </c>
      <c r="B70" t="s">
        <v>202</v>
      </c>
      <c r="C70" t="s">
        <v>203</v>
      </c>
      <c r="G70" s="130"/>
      <c r="H70" s="131"/>
    </row>
    <row r="71" spans="1:8" x14ac:dyDescent="0.25">
      <c r="C71" t="s">
        <v>204</v>
      </c>
      <c r="G71" s="130" t="s">
        <v>160</v>
      </c>
      <c r="H71" s="147">
        <v>3</v>
      </c>
    </row>
    <row r="72" spans="1:8" x14ac:dyDescent="0.25">
      <c r="C72" t="s">
        <v>205</v>
      </c>
      <c r="G72" s="130" t="s">
        <v>160</v>
      </c>
      <c r="H72" s="131"/>
    </row>
    <row r="73" spans="1:8" x14ac:dyDescent="0.25">
      <c r="C73" t="s">
        <v>206</v>
      </c>
      <c r="G73" s="130" t="s">
        <v>160</v>
      </c>
      <c r="H73" s="131"/>
    </row>
    <row r="74" spans="1:8" x14ac:dyDescent="0.25">
      <c r="C74" t="s">
        <v>207</v>
      </c>
      <c r="G74" s="130" t="s">
        <v>160</v>
      </c>
      <c r="H74" s="131"/>
    </row>
    <row r="75" spans="1:8" x14ac:dyDescent="0.25">
      <c r="G75" s="130"/>
      <c r="H75" s="131"/>
    </row>
    <row r="76" spans="1:8" x14ac:dyDescent="0.25">
      <c r="C76" s="135" t="s">
        <v>208</v>
      </c>
      <c r="H76" s="131"/>
    </row>
    <row r="77" spans="1:8" x14ac:dyDescent="0.25">
      <c r="H77" s="131"/>
    </row>
    <row r="78" spans="1:8" x14ac:dyDescent="0.25">
      <c r="A78" t="s">
        <v>209</v>
      </c>
      <c r="B78" t="s">
        <v>210</v>
      </c>
      <c r="C78" s="146" t="s">
        <v>211</v>
      </c>
      <c r="G78" s="130" t="s">
        <v>160</v>
      </c>
      <c r="H78" s="147">
        <v>1</v>
      </c>
    </row>
    <row r="79" spans="1:8" x14ac:dyDescent="0.25">
      <c r="A79" s="1"/>
    </row>
    <row r="80" spans="1:8" x14ac:dyDescent="0.25">
      <c r="A80" s="1" t="s">
        <v>72</v>
      </c>
    </row>
    <row r="81" spans="1:6" x14ac:dyDescent="0.25">
      <c r="A81" s="29">
        <v>2.1</v>
      </c>
      <c r="B81" s="73"/>
      <c r="C81" s="74" t="s">
        <v>23</v>
      </c>
      <c r="D81" s="74" t="s">
        <v>24</v>
      </c>
      <c r="E81" s="22"/>
    </row>
    <row r="82" spans="1:6" x14ac:dyDescent="0.25">
      <c r="B82" s="75" t="s">
        <v>25</v>
      </c>
      <c r="C82" s="76">
        <v>430000</v>
      </c>
      <c r="D82" s="76">
        <v>250000</v>
      </c>
      <c r="E82" s="22"/>
    </row>
    <row r="83" spans="1:6" x14ac:dyDescent="0.25">
      <c r="B83" s="75" t="s">
        <v>26</v>
      </c>
      <c r="C83" s="76">
        <v>25000</v>
      </c>
      <c r="D83" s="76">
        <v>22000</v>
      </c>
      <c r="E83" s="22"/>
    </row>
    <row r="84" spans="1:6" x14ac:dyDescent="0.25">
      <c r="B84" s="75" t="s">
        <v>27</v>
      </c>
      <c r="C84" s="76">
        <v>11000</v>
      </c>
      <c r="D84" s="76">
        <v>21500</v>
      </c>
      <c r="E84" s="22"/>
    </row>
    <row r="85" spans="1:6" x14ac:dyDescent="0.25">
      <c r="B85" s="75" t="s">
        <v>28</v>
      </c>
      <c r="C85" s="76">
        <v>10000</v>
      </c>
      <c r="D85" s="76">
        <v>10000</v>
      </c>
      <c r="E85" s="22"/>
    </row>
    <row r="86" spans="1:6" x14ac:dyDescent="0.25">
      <c r="B86" s="75" t="s">
        <v>29</v>
      </c>
      <c r="C86" s="76">
        <v>2500</v>
      </c>
      <c r="D86" s="76">
        <v>2500</v>
      </c>
      <c r="E86" s="22"/>
    </row>
    <row r="87" spans="1:6" x14ac:dyDescent="0.25">
      <c r="B87" s="22"/>
      <c r="C87" s="22"/>
      <c r="D87" s="22"/>
      <c r="E87" s="30"/>
    </row>
    <row r="88" spans="1:6" x14ac:dyDescent="0.25">
      <c r="B88" s="221" t="s">
        <v>30</v>
      </c>
      <c r="C88" s="222"/>
      <c r="D88" s="222"/>
      <c r="E88" s="223"/>
    </row>
    <row r="89" spans="1:6" x14ac:dyDescent="0.25">
      <c r="B89" s="31" t="s">
        <v>31</v>
      </c>
      <c r="C89" s="32" t="s">
        <v>32</v>
      </c>
      <c r="D89" s="33" t="s">
        <v>23</v>
      </c>
      <c r="E89" s="34" t="s">
        <v>24</v>
      </c>
    </row>
    <row r="90" spans="1:6" x14ac:dyDescent="0.25">
      <c r="B90" s="35" t="s">
        <v>33</v>
      </c>
      <c r="C90" s="36">
        <v>0.65</v>
      </c>
      <c r="D90" s="37">
        <f>C82*C90</f>
        <v>279500</v>
      </c>
      <c r="E90" s="38">
        <f>D82*C90</f>
        <v>162500</v>
      </c>
    </row>
    <row r="91" spans="1:6" ht="15.75" x14ac:dyDescent="0.25">
      <c r="B91" s="35" t="s">
        <v>34</v>
      </c>
      <c r="C91" s="36">
        <f>C92-C90</f>
        <v>0.35</v>
      </c>
      <c r="D91" s="80">
        <f>C82*C91</f>
        <v>150500</v>
      </c>
      <c r="E91" s="81">
        <f>D82*C91</f>
        <v>87500</v>
      </c>
      <c r="F91" s="39"/>
    </row>
    <row r="92" spans="1:6" x14ac:dyDescent="0.25">
      <c r="B92" s="41" t="s">
        <v>36</v>
      </c>
      <c r="C92" s="42">
        <v>1</v>
      </c>
      <c r="D92" s="43">
        <f>SUM(D90:D91)</f>
        <v>430000</v>
      </c>
      <c r="E92" s="43">
        <f>SUM(E90:E91)</f>
        <v>250000</v>
      </c>
    </row>
    <row r="93" spans="1:6" ht="15.75" x14ac:dyDescent="0.25">
      <c r="B93" s="44"/>
      <c r="C93" s="36"/>
      <c r="D93" s="45"/>
      <c r="E93" s="40"/>
    </row>
    <row r="94" spans="1:6" ht="30" customHeight="1" x14ac:dyDescent="0.25">
      <c r="B94" s="224" t="s">
        <v>37</v>
      </c>
      <c r="C94" s="225"/>
      <c r="D94" s="24"/>
      <c r="E94" s="45"/>
    </row>
    <row r="95" spans="1:6" ht="30" x14ac:dyDescent="0.25">
      <c r="B95" s="79" t="s">
        <v>74</v>
      </c>
      <c r="C95" s="46">
        <f>D91*(20/100)</f>
        <v>30100</v>
      </c>
      <c r="D95" s="39" t="s">
        <v>35</v>
      </c>
      <c r="E95" s="44"/>
    </row>
    <row r="96" spans="1:6" ht="30" x14ac:dyDescent="0.25">
      <c r="B96" s="79" t="s">
        <v>75</v>
      </c>
      <c r="C96" s="46">
        <f>E91*(75/100)</f>
        <v>65625</v>
      </c>
      <c r="D96" s="39" t="s">
        <v>35</v>
      </c>
      <c r="E96">
        <v>1</v>
      </c>
    </row>
    <row r="98" spans="1:8" x14ac:dyDescent="0.25">
      <c r="A98" s="29">
        <v>2.2000000000000002</v>
      </c>
      <c r="B98" s="226" t="s">
        <v>38</v>
      </c>
      <c r="C98" s="227"/>
      <c r="D98" s="47"/>
      <c r="E98" s="48"/>
      <c r="F98" s="47"/>
      <c r="G98" s="49"/>
      <c r="H98" s="24"/>
    </row>
    <row r="99" spans="1:8" x14ac:dyDescent="0.25">
      <c r="B99" s="50" t="s">
        <v>39</v>
      </c>
      <c r="C99" s="50" t="s">
        <v>40</v>
      </c>
      <c r="E99" s="44"/>
      <c r="F99" s="51"/>
      <c r="G99" s="49"/>
      <c r="H99" s="24"/>
    </row>
    <row r="100" spans="1:8" ht="15.75" x14ac:dyDescent="0.25">
      <c r="B100" s="52" t="s">
        <v>41</v>
      </c>
      <c r="C100" s="53">
        <f>680000*0.7</f>
        <v>475999.99999999994</v>
      </c>
      <c r="D100" s="54" t="s">
        <v>35</v>
      </c>
      <c r="E100" s="44"/>
      <c r="G100" s="49"/>
      <c r="H100" s="24"/>
    </row>
    <row r="101" spans="1:8" ht="15.75" x14ac:dyDescent="0.25">
      <c r="B101" s="52" t="s">
        <v>42</v>
      </c>
      <c r="C101" s="53">
        <f>50000</f>
        <v>50000</v>
      </c>
      <c r="D101" s="54" t="s">
        <v>35</v>
      </c>
      <c r="E101">
        <v>1</v>
      </c>
      <c r="G101" s="49"/>
      <c r="H101" s="24"/>
    </row>
    <row r="103" spans="1:8" x14ac:dyDescent="0.25">
      <c r="A103" s="29">
        <v>2.2999999999999998</v>
      </c>
      <c r="B103" s="22" t="s">
        <v>44</v>
      </c>
      <c r="C103" s="22"/>
      <c r="D103" s="22"/>
      <c r="E103" s="22"/>
      <c r="F103" s="22"/>
    </row>
    <row r="104" spans="1:8" x14ac:dyDescent="0.25">
      <c r="A104" s="29"/>
      <c r="B104" s="22" t="s">
        <v>45</v>
      </c>
      <c r="C104" s="22"/>
      <c r="D104" s="22"/>
      <c r="E104" s="22"/>
      <c r="F104" s="22"/>
    </row>
    <row r="105" spans="1:8" x14ac:dyDescent="0.25">
      <c r="A105" s="29"/>
      <c r="B105" s="83" t="s">
        <v>279</v>
      </c>
      <c r="C105" s="22"/>
      <c r="D105" s="22"/>
      <c r="E105" s="22"/>
      <c r="F105" s="22"/>
    </row>
    <row r="106" spans="1:8" x14ac:dyDescent="0.25">
      <c r="B106" s="55" t="s">
        <v>76</v>
      </c>
      <c r="D106" s="55"/>
      <c r="E106" s="57"/>
      <c r="F106" s="58"/>
    </row>
    <row r="107" spans="1:8" x14ac:dyDescent="0.25">
      <c r="B107" s="56">
        <f>SQRT((2*2000000*110)/250)</f>
        <v>1326.64991614216</v>
      </c>
      <c r="C107" s="82">
        <f>B107-0.65</f>
        <v>1325.9999161421599</v>
      </c>
      <c r="D107" s="1" t="s">
        <v>46</v>
      </c>
      <c r="E107" s="57" t="s">
        <v>43</v>
      </c>
      <c r="F107" s="59"/>
      <c r="H107">
        <v>2</v>
      </c>
    </row>
    <row r="108" spans="1:8" ht="15.75" x14ac:dyDescent="0.25">
      <c r="B108" s="56"/>
      <c r="D108" s="86" t="s">
        <v>83</v>
      </c>
      <c r="E108" s="54"/>
      <c r="F108" s="59"/>
    </row>
    <row r="110" spans="1:8" x14ac:dyDescent="0.25">
      <c r="A110" s="29">
        <v>2.4</v>
      </c>
      <c r="B110" s="60" t="s">
        <v>47</v>
      </c>
      <c r="F110" s="57"/>
    </row>
    <row r="111" spans="1:8" x14ac:dyDescent="0.25">
      <c r="A111" s="29"/>
      <c r="B111" s="22" t="s">
        <v>48</v>
      </c>
      <c r="F111" s="57"/>
    </row>
    <row r="112" spans="1:8" x14ac:dyDescent="0.25">
      <c r="A112" s="29"/>
      <c r="B112" s="22">
        <f>1600</f>
        <v>1600</v>
      </c>
      <c r="C112" s="22" t="s">
        <v>49</v>
      </c>
      <c r="D112" s="62"/>
      <c r="F112" s="57"/>
    </row>
    <row r="113" spans="1:8" x14ac:dyDescent="0.25">
      <c r="A113" s="29"/>
      <c r="B113" s="62" t="s">
        <v>78</v>
      </c>
      <c r="C113" s="22"/>
      <c r="D113" s="62"/>
      <c r="F113" s="57"/>
    </row>
    <row r="114" spans="1:8" x14ac:dyDescent="0.25">
      <c r="A114" s="29"/>
      <c r="B114" s="61" t="s">
        <v>77</v>
      </c>
      <c r="C114" s="62"/>
      <c r="E114" s="62"/>
      <c r="F114" s="57"/>
    </row>
    <row r="115" spans="1:8" x14ac:dyDescent="0.25">
      <c r="B115" s="63">
        <f>14*(1600/365)</f>
        <v>61.369863013698627</v>
      </c>
      <c r="C115" s="64">
        <f>14*(1600/365)</f>
        <v>61.369863013698627</v>
      </c>
      <c r="D115" s="1" t="s">
        <v>46</v>
      </c>
      <c r="E115" s="57" t="s">
        <v>43</v>
      </c>
      <c r="F115" s="57"/>
      <c r="H115">
        <v>2</v>
      </c>
    </row>
    <row r="116" spans="1:8" x14ac:dyDescent="0.25">
      <c r="B116" s="63"/>
      <c r="C116" s="86"/>
      <c r="D116" s="86" t="s">
        <v>83</v>
      </c>
      <c r="E116" s="62"/>
      <c r="F116" s="57"/>
    </row>
    <row r="118" spans="1:8" x14ac:dyDescent="0.25">
      <c r="A118" s="29">
        <v>2.5</v>
      </c>
      <c r="B118" s="65" t="s">
        <v>50</v>
      </c>
      <c r="C118" s="228" t="s">
        <v>51</v>
      </c>
      <c r="D118" s="65" t="s">
        <v>52</v>
      </c>
    </row>
    <row r="119" spans="1:8" x14ac:dyDescent="0.25">
      <c r="B119" s="22" t="s">
        <v>53</v>
      </c>
      <c r="C119" s="228"/>
      <c r="D119" s="22" t="s">
        <v>54</v>
      </c>
    </row>
    <row r="120" spans="1:8" x14ac:dyDescent="0.25">
      <c r="B120" s="22"/>
      <c r="C120" s="77"/>
      <c r="D120" s="22"/>
    </row>
    <row r="121" spans="1:8" x14ac:dyDescent="0.25">
      <c r="B121" s="22"/>
      <c r="C121" s="22"/>
      <c r="D121" s="70" t="s">
        <v>35</v>
      </c>
    </row>
    <row r="122" spans="1:8" x14ac:dyDescent="0.25">
      <c r="B122" s="66">
        <v>10</v>
      </c>
      <c r="C122" s="228" t="s">
        <v>51</v>
      </c>
      <c r="D122" s="66">
        <v>365</v>
      </c>
      <c r="E122" s="229" t="s">
        <v>18</v>
      </c>
    </row>
    <row r="123" spans="1:8" x14ac:dyDescent="0.25">
      <c r="B123" s="67" t="s">
        <v>55</v>
      </c>
      <c r="C123" s="228"/>
      <c r="D123" s="68" t="s">
        <v>56</v>
      </c>
      <c r="E123" s="229"/>
      <c r="F123" s="30">
        <f>(10/(100-10))*(365/(90-30))</f>
        <v>0.67592592592592582</v>
      </c>
      <c r="G123" s="62" t="s">
        <v>35</v>
      </c>
      <c r="H123">
        <v>2</v>
      </c>
    </row>
    <row r="124" spans="1:8" x14ac:dyDescent="0.25">
      <c r="B124" s="70" t="s">
        <v>35</v>
      </c>
      <c r="C124" s="77"/>
      <c r="D124" s="70" t="s">
        <v>35</v>
      </c>
      <c r="E124" s="78"/>
      <c r="F124" s="30"/>
      <c r="G124" s="2"/>
    </row>
    <row r="125" spans="1:8" x14ac:dyDescent="0.25">
      <c r="A125" s="23"/>
      <c r="B125" s="69"/>
      <c r="C125" s="22"/>
      <c r="D125" s="22"/>
      <c r="E125" s="57"/>
      <c r="F125" s="22"/>
    </row>
    <row r="126" spans="1:8" x14ac:dyDescent="0.25">
      <c r="A126" s="29" t="s">
        <v>154</v>
      </c>
      <c r="B126" t="s">
        <v>62</v>
      </c>
      <c r="F126" s="22"/>
    </row>
    <row r="127" spans="1:8" ht="15.75" x14ac:dyDescent="0.25">
      <c r="A127" s="23"/>
      <c r="B127" s="85" t="s">
        <v>63</v>
      </c>
      <c r="D127" s="39"/>
      <c r="F127" s="22"/>
    </row>
    <row r="128" spans="1:8" ht="15.75" x14ac:dyDescent="0.25">
      <c r="A128" s="23"/>
      <c r="B128" s="39" t="s">
        <v>80</v>
      </c>
      <c r="D128" s="39"/>
      <c r="F128" s="22"/>
    </row>
    <row r="129" spans="1:8" x14ac:dyDescent="0.25">
      <c r="A129" s="23"/>
      <c r="B129" s="69">
        <f>42000/(0.5*(2000+3000))</f>
        <v>16.8</v>
      </c>
      <c r="C129" s="1" t="s">
        <v>59</v>
      </c>
      <c r="D129" s="57" t="s">
        <v>43</v>
      </c>
      <c r="F129" s="22"/>
      <c r="H129">
        <v>2</v>
      </c>
    </row>
    <row r="130" spans="1:8" x14ac:dyDescent="0.25">
      <c r="A130" s="23"/>
      <c r="B130" s="69"/>
      <c r="C130" s="86" t="s">
        <v>82</v>
      </c>
      <c r="D130" s="57"/>
      <c r="F130" s="22"/>
    </row>
    <row r="131" spans="1:8" x14ac:dyDescent="0.25">
      <c r="A131" s="23"/>
      <c r="B131" s="69"/>
      <c r="C131" s="1"/>
      <c r="D131" s="57"/>
      <c r="F131" s="22"/>
    </row>
    <row r="132" spans="1:8" x14ac:dyDescent="0.25">
      <c r="A132" s="29" t="s">
        <v>155</v>
      </c>
      <c r="B132" t="s">
        <v>60</v>
      </c>
    </row>
    <row r="133" spans="1:8" ht="15.75" x14ac:dyDescent="0.25">
      <c r="A133" s="23"/>
      <c r="B133" s="85" t="s">
        <v>61</v>
      </c>
      <c r="D133" s="39"/>
      <c r="F133" s="57"/>
    </row>
    <row r="134" spans="1:8" ht="15.75" x14ac:dyDescent="0.25">
      <c r="A134" s="23"/>
      <c r="B134" s="39" t="s">
        <v>80</v>
      </c>
      <c r="D134" s="39"/>
      <c r="F134" s="57"/>
    </row>
    <row r="135" spans="1:8" x14ac:dyDescent="0.25">
      <c r="A135" s="23"/>
      <c r="B135" s="69">
        <f>21100/(0.5*(1500+1400))</f>
        <v>14.551724137931034</v>
      </c>
      <c r="C135" s="1" t="s">
        <v>59</v>
      </c>
      <c r="D135" s="57" t="s">
        <v>43</v>
      </c>
      <c r="F135" s="22"/>
      <c r="H135">
        <v>2</v>
      </c>
    </row>
    <row r="136" spans="1:8" x14ac:dyDescent="0.25">
      <c r="A136" s="23"/>
      <c r="B136" s="69"/>
      <c r="C136" s="86" t="s">
        <v>82</v>
      </c>
      <c r="D136" s="57"/>
      <c r="F136" s="22"/>
    </row>
    <row r="137" spans="1:8" x14ac:dyDescent="0.25">
      <c r="A137" s="23"/>
      <c r="B137" s="69"/>
      <c r="C137" s="22"/>
      <c r="D137" s="57"/>
      <c r="F137" s="22"/>
    </row>
    <row r="138" spans="1:8" x14ac:dyDescent="0.25">
      <c r="A138" s="29">
        <v>2.7</v>
      </c>
      <c r="B138" s="22" t="s">
        <v>57</v>
      </c>
      <c r="C138" s="22"/>
      <c r="D138" s="2"/>
      <c r="F138" s="22"/>
    </row>
    <row r="139" spans="1:8" ht="15.75" x14ac:dyDescent="0.25">
      <c r="A139" s="23"/>
      <c r="B139" t="s">
        <v>58</v>
      </c>
      <c r="D139" s="39"/>
      <c r="F139" s="22"/>
    </row>
    <row r="140" spans="1:8" ht="15.75" x14ac:dyDescent="0.25">
      <c r="A140" s="23"/>
      <c r="B140" s="39" t="s">
        <v>80</v>
      </c>
      <c r="D140" s="39"/>
      <c r="F140" s="22"/>
    </row>
    <row r="141" spans="1:8" x14ac:dyDescent="0.25">
      <c r="A141" s="23"/>
      <c r="B141" s="69">
        <f>30435000/((0.5*(426000+418000)))</f>
        <v>72.120853080568722</v>
      </c>
      <c r="C141" s="1" t="s">
        <v>59</v>
      </c>
      <c r="D141" s="57" t="s">
        <v>43</v>
      </c>
      <c r="F141" s="22"/>
      <c r="H141">
        <v>2</v>
      </c>
    </row>
    <row r="142" spans="1:8" x14ac:dyDescent="0.25">
      <c r="A142" s="23"/>
      <c r="B142" s="69"/>
      <c r="C142" s="86" t="s">
        <v>82</v>
      </c>
      <c r="D142" s="57"/>
      <c r="F142" s="22"/>
    </row>
    <row r="143" spans="1:8" x14ac:dyDescent="0.25">
      <c r="A143" s="23"/>
      <c r="B143" s="69"/>
      <c r="C143" s="22"/>
      <c r="D143" s="22"/>
      <c r="E143" s="57"/>
      <c r="F143" s="22"/>
    </row>
    <row r="144" spans="1:8" x14ac:dyDescent="0.25">
      <c r="A144" s="1" t="s">
        <v>84</v>
      </c>
      <c r="B144" s="69"/>
      <c r="C144" s="22"/>
      <c r="D144" s="22"/>
      <c r="E144" s="57"/>
      <c r="F144" s="22"/>
    </row>
    <row r="145" spans="1:6" x14ac:dyDescent="0.25">
      <c r="A145" s="23">
        <v>3.1</v>
      </c>
      <c r="B145" s="22" t="s">
        <v>64</v>
      </c>
      <c r="C145" s="22" t="s">
        <v>65</v>
      </c>
      <c r="D145" s="63">
        <f>(285000/2196000)*365</f>
        <v>47.370218579234972</v>
      </c>
      <c r="E145" s="1" t="s">
        <v>66</v>
      </c>
      <c r="F145">
        <v>2</v>
      </c>
    </row>
    <row r="146" spans="1:6" x14ac:dyDescent="0.25">
      <c r="A146" s="23"/>
      <c r="B146" s="22"/>
      <c r="C146" s="62" t="s">
        <v>79</v>
      </c>
      <c r="D146" s="84" t="s">
        <v>43</v>
      </c>
      <c r="E146" s="86" t="s">
        <v>81</v>
      </c>
    </row>
    <row r="147" spans="1:6" x14ac:dyDescent="0.25">
      <c r="A147" s="23"/>
      <c r="B147" s="22"/>
      <c r="C147" s="62"/>
      <c r="D147" s="84"/>
      <c r="E147" s="22"/>
    </row>
    <row r="148" spans="1:6" x14ac:dyDescent="0.25">
      <c r="A148" s="23">
        <v>3.2</v>
      </c>
      <c r="B148" s="22" t="s">
        <v>67</v>
      </c>
      <c r="C148" s="22" t="s">
        <v>68</v>
      </c>
      <c r="D148" s="63">
        <f>(594000/1440000)*365</f>
        <v>150.5625</v>
      </c>
      <c r="E148" s="1" t="s">
        <v>66</v>
      </c>
      <c r="F148">
        <v>2</v>
      </c>
    </row>
    <row r="149" spans="1:6" x14ac:dyDescent="0.25">
      <c r="A149" s="23"/>
      <c r="B149" s="22"/>
      <c r="C149" s="62" t="s">
        <v>79</v>
      </c>
      <c r="D149" s="84" t="s">
        <v>43</v>
      </c>
      <c r="E149" s="86" t="s">
        <v>81</v>
      </c>
    </row>
    <row r="150" spans="1:6" x14ac:dyDescent="0.25">
      <c r="A150" s="23"/>
      <c r="B150" s="22"/>
      <c r="C150" s="71"/>
      <c r="D150" s="1"/>
      <c r="E150" s="72"/>
      <c r="F150" s="22"/>
    </row>
    <row r="151" spans="1:6" x14ac:dyDescent="0.25">
      <c r="A151" s="23">
        <v>3.3</v>
      </c>
      <c r="B151" s="22" t="s">
        <v>69</v>
      </c>
      <c r="C151" s="22" t="s">
        <v>70</v>
      </c>
      <c r="D151" s="63">
        <f>(252000/2376000)*365</f>
        <v>38.712121212121211</v>
      </c>
      <c r="E151" s="1" t="s">
        <v>66</v>
      </c>
      <c r="F151">
        <v>2</v>
      </c>
    </row>
    <row r="152" spans="1:6" x14ac:dyDescent="0.25">
      <c r="A152" s="23"/>
      <c r="B152" s="22"/>
      <c r="C152" s="62" t="s">
        <v>79</v>
      </c>
      <c r="D152" s="84" t="s">
        <v>43</v>
      </c>
      <c r="E152" s="86" t="s">
        <v>81</v>
      </c>
    </row>
    <row r="153" spans="1:6" x14ac:dyDescent="0.25">
      <c r="A153" s="23"/>
      <c r="B153" s="22"/>
      <c r="C153" s="62"/>
      <c r="D153" s="84"/>
      <c r="E153" s="22"/>
    </row>
    <row r="154" spans="1:6" x14ac:dyDescent="0.25">
      <c r="A154" s="1" t="s">
        <v>153</v>
      </c>
    </row>
    <row r="155" spans="1:6" s="22" customFormat="1" x14ac:dyDescent="0.25">
      <c r="A155" s="23">
        <v>4.0999999999999996</v>
      </c>
      <c r="B155" s="87" t="s">
        <v>85</v>
      </c>
      <c r="C155" s="87" t="s">
        <v>86</v>
      </c>
      <c r="D155" s="87" t="s">
        <v>87</v>
      </c>
      <c r="E155" s="87" t="s">
        <v>88</v>
      </c>
    </row>
    <row r="156" spans="1:6" s="22" customFormat="1" x14ac:dyDescent="0.25">
      <c r="A156" s="23"/>
      <c r="B156" s="87" t="s">
        <v>89</v>
      </c>
      <c r="C156" s="88">
        <v>0.31</v>
      </c>
      <c r="D156" s="89">
        <f>SQRT(E156)</f>
        <v>8.717797887081348</v>
      </c>
      <c r="E156" s="87">
        <v>76</v>
      </c>
      <c r="F156" s="63"/>
    </row>
    <row r="157" spans="1:6" s="22" customFormat="1" x14ac:dyDescent="0.25">
      <c r="A157" s="23"/>
      <c r="B157" s="90" t="s">
        <v>90</v>
      </c>
      <c r="C157" s="91">
        <v>0.69</v>
      </c>
      <c r="D157" s="89">
        <f>SQRT(E157)</f>
        <v>6.8556546004010439</v>
      </c>
      <c r="E157" s="92">
        <v>47</v>
      </c>
      <c r="F157" s="63"/>
    </row>
    <row r="158" spans="1:6" s="22" customFormat="1" x14ac:dyDescent="0.25">
      <c r="A158" s="23"/>
      <c r="C158" s="72" t="s">
        <v>91</v>
      </c>
      <c r="D158" s="72" t="s">
        <v>92</v>
      </c>
      <c r="E158" s="72" t="s">
        <v>93</v>
      </c>
    </row>
    <row r="159" spans="1:6" s="22" customFormat="1" x14ac:dyDescent="0.25">
      <c r="A159" s="23"/>
      <c r="B159" s="93" t="s">
        <v>94</v>
      </c>
      <c r="C159" s="23" t="s">
        <v>95</v>
      </c>
      <c r="D159" s="23"/>
      <c r="E159" s="23"/>
    </row>
    <row r="160" spans="1:6" s="22" customFormat="1" x14ac:dyDescent="0.25">
      <c r="A160" s="23"/>
      <c r="B160" s="94" t="s">
        <v>96</v>
      </c>
      <c r="C160" s="95">
        <f>((0.31^2)*76)+((0.69^2)*47)+2*(0.31*0.69*4)</f>
        <v>31.391499999999994</v>
      </c>
      <c r="D160" s="72"/>
    </row>
    <row r="161" spans="1:7" s="22" customFormat="1" x14ac:dyDescent="0.25">
      <c r="A161" s="23"/>
      <c r="B161" s="55" t="s">
        <v>97</v>
      </c>
      <c r="C161" s="96">
        <f>SQRT(C160)</f>
        <v>5.6028117940905346</v>
      </c>
      <c r="D161" s="72"/>
    </row>
    <row r="162" spans="1:7" s="22" customFormat="1" x14ac:dyDescent="0.25">
      <c r="A162" s="23"/>
      <c r="B162" s="22" t="s">
        <v>98</v>
      </c>
      <c r="C162" s="30">
        <f>(C161)/100</f>
        <v>5.6028117940905349E-2</v>
      </c>
      <c r="D162" s="72" t="s">
        <v>99</v>
      </c>
      <c r="E162" s="97"/>
    </row>
    <row r="163" spans="1:7" s="22" customFormat="1" x14ac:dyDescent="0.25">
      <c r="A163" s="23"/>
      <c r="C163" s="30"/>
      <c r="D163" s="72"/>
      <c r="E163" s="97"/>
    </row>
    <row r="164" spans="1:7" s="22" customFormat="1" x14ac:dyDescent="0.25">
      <c r="A164" s="23"/>
      <c r="B164" s="233" t="s">
        <v>100</v>
      </c>
      <c r="C164" s="233"/>
      <c r="D164" s="233"/>
      <c r="E164" s="233"/>
      <c r="F164" s="233"/>
      <c r="G164" s="22">
        <v>4</v>
      </c>
    </row>
    <row r="165" spans="1:7" s="22" customFormat="1" x14ac:dyDescent="0.25">
      <c r="A165" s="23"/>
      <c r="C165" s="72" t="s">
        <v>101</v>
      </c>
      <c r="D165" s="72" t="s">
        <v>102</v>
      </c>
      <c r="E165" s="72" t="s">
        <v>103</v>
      </c>
      <c r="F165" s="148"/>
    </row>
    <row r="166" spans="1:7" s="22" customFormat="1" x14ac:dyDescent="0.25">
      <c r="A166" s="23"/>
      <c r="B166" s="93" t="s">
        <v>94</v>
      </c>
      <c r="C166" s="23" t="s">
        <v>104</v>
      </c>
      <c r="D166" s="23"/>
      <c r="E166" s="23"/>
      <c r="F166" s="148"/>
    </row>
    <row r="167" spans="1:7" s="22" customFormat="1" x14ac:dyDescent="0.25">
      <c r="A167" s="23"/>
      <c r="B167" s="94" t="s">
        <v>96</v>
      </c>
      <c r="C167" s="95">
        <f>((0.31^2)*D156^2)+((0.69^2)*D157^2)+2*(0.31*0.69*4)</f>
        <v>31.391500000000001</v>
      </c>
      <c r="D167" s="72"/>
      <c r="E167" s="97"/>
    </row>
    <row r="168" spans="1:7" s="22" customFormat="1" x14ac:dyDescent="0.25">
      <c r="A168" s="23"/>
      <c r="B168" s="55" t="s">
        <v>97</v>
      </c>
      <c r="C168" s="96">
        <f>SQRT(C167)</f>
        <v>5.6028117940905355</v>
      </c>
      <c r="D168" s="72" t="s">
        <v>99</v>
      </c>
      <c r="E168" s="97"/>
    </row>
    <row r="169" spans="1:7" s="22" customFormat="1" x14ac:dyDescent="0.25">
      <c r="A169" s="23"/>
      <c r="B169" s="22" t="s">
        <v>98</v>
      </c>
      <c r="C169" s="30">
        <f>(C168)/100</f>
        <v>5.6028117940905356E-2</v>
      </c>
      <c r="D169" s="72"/>
      <c r="E169" s="97"/>
    </row>
    <row r="171" spans="1:7" s="22" customFormat="1" x14ac:dyDescent="0.25">
      <c r="A171" s="23">
        <v>4.2</v>
      </c>
      <c r="B171" s="99" t="s">
        <v>105</v>
      </c>
      <c r="C171" s="100">
        <v>1200</v>
      </c>
      <c r="D171" s="100" t="s">
        <v>106</v>
      </c>
      <c r="E171" s="101"/>
    </row>
    <row r="172" spans="1:7" s="22" customFormat="1" x14ac:dyDescent="0.25">
      <c r="A172" s="23"/>
      <c r="B172" s="102" t="s">
        <v>107</v>
      </c>
      <c r="C172" s="103">
        <f>C171*1.3</f>
        <v>1560</v>
      </c>
      <c r="D172" s="103" t="s">
        <v>106</v>
      </c>
      <c r="E172" s="104"/>
    </row>
    <row r="173" spans="1:7" s="22" customFormat="1" x14ac:dyDescent="0.25">
      <c r="A173" s="23"/>
      <c r="B173" s="105" t="s">
        <v>108</v>
      </c>
      <c r="C173" s="149">
        <v>180</v>
      </c>
      <c r="D173" s="149"/>
      <c r="E173" s="106"/>
    </row>
    <row r="174" spans="1:7" s="22" customFormat="1" x14ac:dyDescent="0.25">
      <c r="A174" s="23"/>
      <c r="B174" s="23"/>
      <c r="C174" s="23"/>
      <c r="D174" s="23"/>
      <c r="E174" s="23"/>
    </row>
    <row r="175" spans="1:7" s="22" customFormat="1" x14ac:dyDescent="0.25">
      <c r="A175" s="23"/>
      <c r="B175" s="23" t="s">
        <v>109</v>
      </c>
      <c r="C175" s="237" t="s">
        <v>110</v>
      </c>
      <c r="D175" s="237"/>
      <c r="E175" s="23" t="s">
        <v>111</v>
      </c>
    </row>
    <row r="176" spans="1:7" s="22" customFormat="1" x14ac:dyDescent="0.25">
      <c r="A176" s="23"/>
      <c r="B176" s="23"/>
      <c r="C176" s="100" t="s">
        <v>112</v>
      </c>
      <c r="D176" s="100"/>
      <c r="E176" s="23"/>
    </row>
    <row r="177" spans="1:6" s="22" customFormat="1" x14ac:dyDescent="0.25">
      <c r="A177" s="23"/>
      <c r="B177" s="23"/>
      <c r="C177" s="107" t="s">
        <v>113</v>
      </c>
      <c r="D177" s="107" t="s">
        <v>114</v>
      </c>
      <c r="E177" s="23"/>
    </row>
    <row r="178" spans="1:6" s="22" customFormat="1" x14ac:dyDescent="0.25">
      <c r="A178" s="23"/>
      <c r="B178" s="23" t="s">
        <v>115</v>
      </c>
      <c r="C178" s="149" t="s">
        <v>116</v>
      </c>
      <c r="D178" s="149"/>
      <c r="E178" s="23" t="s">
        <v>111</v>
      </c>
    </row>
    <row r="179" spans="1:6" s="22" customFormat="1" x14ac:dyDescent="0.25">
      <c r="A179" s="23"/>
      <c r="B179" s="23"/>
      <c r="C179" s="108">
        <f>C171</f>
        <v>1200</v>
      </c>
      <c r="D179" s="107" t="s">
        <v>117</v>
      </c>
      <c r="E179" s="23"/>
    </row>
    <row r="180" spans="1:6" s="22" customFormat="1" x14ac:dyDescent="0.25">
      <c r="A180" s="23"/>
      <c r="B180" s="23"/>
      <c r="C180" s="23"/>
      <c r="D180" s="23"/>
      <c r="E180" s="23"/>
    </row>
    <row r="181" spans="1:6" s="22" customFormat="1" x14ac:dyDescent="0.25">
      <c r="A181" s="23"/>
      <c r="B181" s="23" t="s">
        <v>115</v>
      </c>
      <c r="C181" s="23">
        <f>((C172-C171)+C173)/C171</f>
        <v>0.45</v>
      </c>
      <c r="D181" s="23"/>
      <c r="E181" s="23" t="s">
        <v>118</v>
      </c>
    </row>
    <row r="182" spans="1:6" s="22" customFormat="1" x14ac:dyDescent="0.25">
      <c r="A182" s="23"/>
      <c r="B182" s="109"/>
      <c r="C182" s="110">
        <f>C181</f>
        <v>0.45</v>
      </c>
      <c r="D182" s="111" t="s">
        <v>43</v>
      </c>
      <c r="E182" s="23"/>
      <c r="F182" s="22">
        <v>3</v>
      </c>
    </row>
    <row r="184" spans="1:6" s="22" customFormat="1" x14ac:dyDescent="0.25">
      <c r="A184" s="23">
        <v>4.3</v>
      </c>
      <c r="D184" s="72"/>
    </row>
    <row r="185" spans="1:6" s="22" customFormat="1" x14ac:dyDescent="0.25">
      <c r="A185" s="23"/>
    </row>
    <row r="186" spans="1:6" s="22" customFormat="1" x14ac:dyDescent="0.25">
      <c r="A186" s="23"/>
      <c r="C186" s="72" t="s">
        <v>119</v>
      </c>
    </row>
    <row r="187" spans="1:6" s="22" customFormat="1" ht="18" x14ac:dyDescent="0.25">
      <c r="A187" s="23"/>
      <c r="B187" s="112" t="s">
        <v>120</v>
      </c>
      <c r="F187"/>
    </row>
    <row r="188" spans="1:6" s="22" customFormat="1" x14ac:dyDescent="0.25">
      <c r="A188" s="23"/>
      <c r="B188" s="113" t="s">
        <v>121</v>
      </c>
      <c r="C188" s="114">
        <f>((6+1.6*(11-6)))/100</f>
        <v>0.14000000000000001</v>
      </c>
      <c r="D188" s="72" t="s">
        <v>122</v>
      </c>
      <c r="F188">
        <v>2</v>
      </c>
    </row>
    <row r="190" spans="1:6" s="22" customFormat="1" x14ac:dyDescent="0.25">
      <c r="A190" s="23">
        <v>4.4000000000000004</v>
      </c>
      <c r="B190" s="115"/>
      <c r="C190" s="116" t="s">
        <v>123</v>
      </c>
      <c r="D190" s="116" t="s">
        <v>124</v>
      </c>
      <c r="E190" s="116" t="s">
        <v>125</v>
      </c>
    </row>
    <row r="191" spans="1:6" s="22" customFormat="1" x14ac:dyDescent="0.25">
      <c r="A191" s="23"/>
      <c r="B191" s="117" t="s">
        <v>126</v>
      </c>
      <c r="C191" s="118">
        <v>0.48</v>
      </c>
      <c r="D191" s="119">
        <v>0.09</v>
      </c>
      <c r="E191" s="120">
        <f>C191*D191</f>
        <v>4.3199999999999995E-2</v>
      </c>
      <c r="F191" s="72" t="s">
        <v>127</v>
      </c>
    </row>
    <row r="192" spans="1:6" s="22" customFormat="1" x14ac:dyDescent="0.25">
      <c r="A192" s="23"/>
      <c r="B192" s="117" t="s">
        <v>128</v>
      </c>
      <c r="C192" s="118">
        <v>0.52</v>
      </c>
      <c r="D192" s="119">
        <v>0.04</v>
      </c>
      <c r="E192" s="120">
        <f>C192*D192</f>
        <v>2.0800000000000003E-2</v>
      </c>
      <c r="F192" s="72" t="s">
        <v>127</v>
      </c>
    </row>
    <row r="193" spans="1:7" s="22" customFormat="1" x14ac:dyDescent="0.25">
      <c r="A193" s="23"/>
      <c r="C193" s="1"/>
      <c r="D193" s="22" t="s">
        <v>129</v>
      </c>
      <c r="E193" s="30">
        <f>SUM(E191:E192)</f>
        <v>6.4000000000000001E-2</v>
      </c>
      <c r="F193" s="97" t="s">
        <v>43</v>
      </c>
      <c r="G193" s="22">
        <v>2</v>
      </c>
    </row>
    <row r="195" spans="1:7" s="22" customFormat="1" x14ac:dyDescent="0.25">
      <c r="A195" s="23">
        <v>4.5</v>
      </c>
    </row>
    <row r="196" spans="1:7" s="22" customFormat="1" x14ac:dyDescent="0.25">
      <c r="A196" s="23"/>
    </row>
    <row r="197" spans="1:7" s="22" customFormat="1" x14ac:dyDescent="0.25">
      <c r="A197" s="23"/>
      <c r="B197" s="93" t="s">
        <v>18</v>
      </c>
      <c r="C197" s="233" t="s">
        <v>130</v>
      </c>
      <c r="D197" s="233"/>
      <c r="E197" s="72" t="s">
        <v>127</v>
      </c>
    </row>
    <row r="198" spans="1:7" s="22" customFormat="1" x14ac:dyDescent="0.25">
      <c r="A198" s="23"/>
      <c r="B198" s="93" t="s">
        <v>18</v>
      </c>
      <c r="C198" s="63">
        <f>(2+(-9)+5+(-1))/4</f>
        <v>-0.75</v>
      </c>
      <c r="D198" s="22" t="s">
        <v>32</v>
      </c>
      <c r="E198" s="72" t="s">
        <v>127</v>
      </c>
      <c r="F198" s="22">
        <v>1</v>
      </c>
    </row>
    <row r="200" spans="1:7" s="22" customFormat="1" x14ac:dyDescent="0.25">
      <c r="A200" s="23">
        <v>4.5999999999999996</v>
      </c>
      <c r="B200" s="121" t="s">
        <v>131</v>
      </c>
      <c r="C200" s="121" t="s">
        <v>132</v>
      </c>
    </row>
    <row r="201" spans="1:7" s="22" customFormat="1" x14ac:dyDescent="0.25">
      <c r="A201" s="23"/>
      <c r="B201" s="121">
        <v>0.1</v>
      </c>
      <c r="C201" s="121">
        <v>1.1000000000000001</v>
      </c>
      <c r="D201" s="238" t="s">
        <v>127</v>
      </c>
    </row>
    <row r="202" spans="1:7" s="22" customFormat="1" x14ac:dyDescent="0.25">
      <c r="A202" s="23"/>
      <c r="B202" s="121">
        <v>0.06</v>
      </c>
      <c r="C202" s="121">
        <v>1.06</v>
      </c>
      <c r="D202" s="238"/>
    </row>
    <row r="203" spans="1:7" s="22" customFormat="1" x14ac:dyDescent="0.25">
      <c r="A203" s="23"/>
      <c r="B203" s="121">
        <v>0.01</v>
      </c>
      <c r="C203" s="121">
        <v>1.01</v>
      </c>
      <c r="D203" s="238" t="s">
        <v>127</v>
      </c>
    </row>
    <row r="204" spans="1:7" s="22" customFormat="1" x14ac:dyDescent="0.25">
      <c r="A204" s="23"/>
      <c r="B204" s="121">
        <v>0.17</v>
      </c>
      <c r="C204" s="121">
        <v>1.17</v>
      </c>
      <c r="D204" s="238"/>
    </row>
    <row r="205" spans="1:7" s="22" customFormat="1" x14ac:dyDescent="0.25">
      <c r="A205" s="23"/>
      <c r="B205" s="122" t="s">
        <v>133</v>
      </c>
      <c r="C205" s="123">
        <f>C201*C202*C203*C204</f>
        <v>1.3778622</v>
      </c>
      <c r="D205" s="72" t="s">
        <v>127</v>
      </c>
    </row>
    <row r="206" spans="1:7" s="22" customFormat="1" ht="30" x14ac:dyDescent="0.25">
      <c r="A206" s="23"/>
      <c r="B206" s="124" t="s">
        <v>134</v>
      </c>
      <c r="C206" s="46">
        <f>(C205^(1/4)-1)*100</f>
        <v>8.3431470687715059</v>
      </c>
      <c r="D206" s="125" t="s">
        <v>127</v>
      </c>
      <c r="E206" s="22">
        <v>2</v>
      </c>
    </row>
    <row r="208" spans="1:7" s="22" customFormat="1" x14ac:dyDescent="0.25">
      <c r="A208" s="23">
        <v>4.7</v>
      </c>
      <c r="B208" s="87"/>
      <c r="C208" s="87" t="s">
        <v>135</v>
      </c>
      <c r="D208" s="87" t="s">
        <v>136</v>
      </c>
      <c r="E208" s="126"/>
    </row>
    <row r="209" spans="1:7" s="22" customFormat="1" x14ac:dyDescent="0.25">
      <c r="A209" s="23"/>
      <c r="B209" s="87" t="s">
        <v>137</v>
      </c>
      <c r="C209" s="87">
        <v>10</v>
      </c>
      <c r="D209" s="87">
        <v>12</v>
      </c>
      <c r="E209" s="126"/>
    </row>
    <row r="210" spans="1:7" s="22" customFormat="1" ht="30" x14ac:dyDescent="0.25">
      <c r="A210" s="23"/>
      <c r="B210" s="87" t="s">
        <v>138</v>
      </c>
      <c r="C210" s="87">
        <v>20</v>
      </c>
      <c r="D210" s="87">
        <v>19</v>
      </c>
      <c r="E210" s="126"/>
    </row>
    <row r="211" spans="1:7" s="22" customFormat="1" x14ac:dyDescent="0.25">
      <c r="A211" s="23"/>
      <c r="B211" s="87" t="s">
        <v>139</v>
      </c>
      <c r="C211" s="89">
        <f>C210/C209</f>
        <v>2</v>
      </c>
      <c r="D211" s="89">
        <f>D210/D209</f>
        <v>1.5833333333333333</v>
      </c>
      <c r="E211" s="127"/>
    </row>
    <row r="212" spans="1:7" s="22" customFormat="1" ht="15.75" x14ac:dyDescent="0.25">
      <c r="A212" s="23"/>
      <c r="B212" s="126"/>
      <c r="C212" s="39" t="s">
        <v>140</v>
      </c>
      <c r="D212" s="39" t="s">
        <v>140</v>
      </c>
      <c r="E212" s="39"/>
    </row>
    <row r="213" spans="1:7" s="22" customFormat="1" ht="15.75" x14ac:dyDescent="0.25">
      <c r="A213" s="23"/>
      <c r="B213" s="128" t="s">
        <v>141</v>
      </c>
      <c r="C213" s="128"/>
      <c r="D213" s="128"/>
      <c r="F213" s="72" t="s">
        <v>127</v>
      </c>
      <c r="G213" s="39"/>
    </row>
    <row r="214" spans="1:7" s="22" customFormat="1" ht="15.75" x14ac:dyDescent="0.25">
      <c r="A214" s="23"/>
      <c r="B214" s="86" t="s">
        <v>280</v>
      </c>
      <c r="C214" s="128"/>
      <c r="D214" s="128"/>
      <c r="E214" s="86"/>
      <c r="F214" s="72"/>
      <c r="G214" s="39"/>
    </row>
    <row r="215" spans="1:7" s="22" customFormat="1" x14ac:dyDescent="0.25">
      <c r="A215" s="23"/>
      <c r="B215" s="128" t="s">
        <v>142</v>
      </c>
      <c r="C215" s="128"/>
      <c r="D215" s="128"/>
      <c r="E215" s="128"/>
      <c r="F215" s="125" t="s">
        <v>127</v>
      </c>
      <c r="G215" s="22">
        <v>2</v>
      </c>
    </row>
    <row r="217" spans="1:7" s="22" customFormat="1" x14ac:dyDescent="0.25">
      <c r="A217" s="23">
        <v>4.8</v>
      </c>
      <c r="B217" s="115" t="s">
        <v>143</v>
      </c>
      <c r="C217" s="115" t="s">
        <v>144</v>
      </c>
      <c r="D217" s="115" t="s">
        <v>145</v>
      </c>
      <c r="E217" s="115" t="s">
        <v>146</v>
      </c>
    </row>
    <row r="218" spans="1:7" s="22" customFormat="1" x14ac:dyDescent="0.25">
      <c r="A218" s="23"/>
      <c r="B218" s="115">
        <v>-20</v>
      </c>
      <c r="C218" s="115">
        <v>18</v>
      </c>
      <c r="D218" s="115">
        <f>B218-C218</f>
        <v>-38</v>
      </c>
      <c r="E218" s="46">
        <f>D218^2</f>
        <v>1444</v>
      </c>
      <c r="F218" s="72" t="s">
        <v>147</v>
      </c>
    </row>
    <row r="219" spans="1:7" s="22" customFormat="1" x14ac:dyDescent="0.25">
      <c r="A219" s="23"/>
      <c r="B219" s="115">
        <v>29</v>
      </c>
      <c r="C219" s="115">
        <v>18</v>
      </c>
      <c r="D219" s="115">
        <f>B219-C219</f>
        <v>11</v>
      </c>
      <c r="E219" s="115">
        <f>D219^2</f>
        <v>121</v>
      </c>
      <c r="F219" s="72" t="s">
        <v>147</v>
      </c>
    </row>
    <row r="220" spans="1:7" s="22" customFormat="1" x14ac:dyDescent="0.25">
      <c r="A220" s="23"/>
      <c r="B220" s="115">
        <v>25</v>
      </c>
      <c r="C220" s="115">
        <v>18</v>
      </c>
      <c r="D220" s="115">
        <f>B220-C220</f>
        <v>7</v>
      </c>
      <c r="E220" s="115">
        <f>D220^2</f>
        <v>49</v>
      </c>
      <c r="F220" s="72" t="s">
        <v>147</v>
      </c>
    </row>
    <row r="221" spans="1:7" s="22" customFormat="1" x14ac:dyDescent="0.25">
      <c r="A221" s="23"/>
      <c r="D221" s="22" t="s">
        <v>36</v>
      </c>
      <c r="E221" s="63">
        <f>SUM(E218:E220)</f>
        <v>1614</v>
      </c>
      <c r="F221" s="72" t="s">
        <v>147</v>
      </c>
    </row>
    <row r="222" spans="1:7" s="22" customFormat="1" x14ac:dyDescent="0.25">
      <c r="A222" s="23"/>
      <c r="C222" s="22" t="s">
        <v>148</v>
      </c>
      <c r="D222" s="22" t="s">
        <v>149</v>
      </c>
      <c r="E222" s="63">
        <f>3-1</f>
        <v>2</v>
      </c>
      <c r="F222" s="72" t="s">
        <v>147</v>
      </c>
    </row>
    <row r="223" spans="1:7" s="22" customFormat="1" x14ac:dyDescent="0.25">
      <c r="A223" s="23"/>
      <c r="D223" s="22" t="s">
        <v>150</v>
      </c>
      <c r="E223" s="63">
        <f>E221/E222</f>
        <v>807</v>
      </c>
      <c r="F223" s="72" t="s">
        <v>147</v>
      </c>
    </row>
    <row r="224" spans="1:7" s="22" customFormat="1" x14ac:dyDescent="0.25">
      <c r="A224" s="23"/>
      <c r="D224" s="22" t="s">
        <v>151</v>
      </c>
      <c r="E224" s="63">
        <f>SQRT(E223)</f>
        <v>28.407745422683583</v>
      </c>
      <c r="F224" s="97" t="s">
        <v>43</v>
      </c>
      <c r="G224" s="22">
        <v>4</v>
      </c>
    </row>
    <row r="226" spans="1:12" x14ac:dyDescent="0.25">
      <c r="A226" s="1" t="s">
        <v>213</v>
      </c>
    </row>
    <row r="227" spans="1:12" x14ac:dyDescent="0.25">
      <c r="A227" s="29">
        <v>5.0999999999999996</v>
      </c>
      <c r="B227" t="s">
        <v>215</v>
      </c>
      <c r="C227">
        <f>9*2</f>
        <v>18</v>
      </c>
      <c r="D227" s="136" t="s">
        <v>216</v>
      </c>
      <c r="E227" s="136" t="s">
        <v>117</v>
      </c>
      <c r="F227" s="136"/>
      <c r="L227">
        <v>3</v>
      </c>
    </row>
    <row r="228" spans="1:12" x14ac:dyDescent="0.25">
      <c r="B228" t="s">
        <v>217</v>
      </c>
      <c r="C228" s="150">
        <f>18%/2</f>
        <v>0.09</v>
      </c>
      <c r="D228" s="151" t="s">
        <v>218</v>
      </c>
      <c r="E228" s="136" t="s">
        <v>117</v>
      </c>
      <c r="F228" s="136"/>
    </row>
    <row r="229" spans="1:12" x14ac:dyDescent="0.25">
      <c r="B229" t="s">
        <v>219</v>
      </c>
      <c r="C229" s="152">
        <v>100000</v>
      </c>
      <c r="D229" s="136"/>
      <c r="E229" s="136" t="s">
        <v>117</v>
      </c>
      <c r="F229" s="136"/>
    </row>
    <row r="230" spans="1:12" x14ac:dyDescent="0.25">
      <c r="B230" t="s">
        <v>220</v>
      </c>
      <c r="C230" s="153">
        <v>0</v>
      </c>
      <c r="D230" s="136"/>
      <c r="E230" s="136" t="s">
        <v>117</v>
      </c>
      <c r="F230" s="136"/>
    </row>
    <row r="231" spans="1:12" x14ac:dyDescent="0.25">
      <c r="B231" s="1" t="s">
        <v>221</v>
      </c>
      <c r="C231" s="1" t="s">
        <v>222</v>
      </c>
      <c r="D231" s="154">
        <f>PV(C228,C227,C230,C229,0)</f>
        <v>-21199.374015031146</v>
      </c>
      <c r="E231" s="2" t="s">
        <v>160</v>
      </c>
      <c r="F231" s="2"/>
    </row>
    <row r="233" spans="1:12" x14ac:dyDescent="0.25">
      <c r="A233" t="s">
        <v>244</v>
      </c>
      <c r="B233" t="s">
        <v>215</v>
      </c>
      <c r="C233" s="155">
        <v>18</v>
      </c>
      <c r="D233" s="136" t="s">
        <v>117</v>
      </c>
      <c r="L233">
        <v>3</v>
      </c>
    </row>
    <row r="234" spans="1:12" x14ac:dyDescent="0.25">
      <c r="B234" t="s">
        <v>217</v>
      </c>
      <c r="C234" s="150">
        <v>7.0000000000000007E-2</v>
      </c>
      <c r="D234" s="136" t="s">
        <v>117</v>
      </c>
      <c r="G234" s="156"/>
    </row>
    <row r="235" spans="1:12" x14ac:dyDescent="0.25">
      <c r="B235" t="s">
        <v>221</v>
      </c>
      <c r="C235">
        <v>-2300000</v>
      </c>
      <c r="D235" s="136" t="s">
        <v>117</v>
      </c>
      <c r="E235" s="2"/>
      <c r="F235" s="2"/>
    </row>
    <row r="236" spans="1:12" x14ac:dyDescent="0.25">
      <c r="B236" t="s">
        <v>220</v>
      </c>
      <c r="C236">
        <v>-60000</v>
      </c>
      <c r="D236" s="136" t="s">
        <v>117</v>
      </c>
    </row>
    <row r="237" spans="1:12" x14ac:dyDescent="0.25">
      <c r="B237" t="s">
        <v>219</v>
      </c>
      <c r="C237" t="s">
        <v>222</v>
      </c>
      <c r="D237" s="157">
        <f>FV(C234,C233,C236,C235,0)</f>
        <v>9813786.184812719</v>
      </c>
      <c r="E237" s="2" t="s">
        <v>160</v>
      </c>
      <c r="F237" s="2"/>
    </row>
    <row r="239" spans="1:12" x14ac:dyDescent="0.25">
      <c r="A239" t="s">
        <v>243</v>
      </c>
      <c r="B239" t="s">
        <v>223</v>
      </c>
      <c r="C239" s="2" t="s">
        <v>160</v>
      </c>
      <c r="D239" s="158" t="s">
        <v>224</v>
      </c>
      <c r="L239">
        <v>1</v>
      </c>
    </row>
    <row r="241" spans="1:12" x14ac:dyDescent="0.25">
      <c r="A241" t="s">
        <v>242</v>
      </c>
      <c r="B241" t="s">
        <v>215</v>
      </c>
      <c r="C241">
        <v>20</v>
      </c>
      <c r="D241" s="136"/>
      <c r="E241" s="136" t="s">
        <v>117</v>
      </c>
      <c r="F241" s="136"/>
      <c r="L241">
        <v>3</v>
      </c>
    </row>
    <row r="242" spans="1:12" x14ac:dyDescent="0.25">
      <c r="B242" t="s">
        <v>217</v>
      </c>
      <c r="C242" s="159">
        <v>0.08</v>
      </c>
      <c r="D242" s="136" t="s">
        <v>117</v>
      </c>
    </row>
    <row r="243" spans="1:12" x14ac:dyDescent="0.25">
      <c r="B243" t="s">
        <v>221</v>
      </c>
      <c r="C243">
        <f>2000000*0.9</f>
        <v>1800000</v>
      </c>
      <c r="D243" s="136" t="s">
        <v>117</v>
      </c>
    </row>
    <row r="244" spans="1:12" x14ac:dyDescent="0.25">
      <c r="B244" s="1" t="s">
        <v>220</v>
      </c>
      <c r="C244" s="154" t="s">
        <v>222</v>
      </c>
      <c r="D244" s="154">
        <f>PMT(C242,C241,C243,C245,0)</f>
        <v>-183333.97588167113</v>
      </c>
      <c r="E244" s="2" t="s">
        <v>160</v>
      </c>
      <c r="F244" s="2"/>
    </row>
    <row r="245" spans="1:12" x14ac:dyDescent="0.25">
      <c r="B245" t="s">
        <v>219</v>
      </c>
      <c r="C245">
        <v>0</v>
      </c>
      <c r="D245" s="136" t="s">
        <v>117</v>
      </c>
    </row>
    <row r="247" spans="1:12" ht="60" x14ac:dyDescent="0.25">
      <c r="A247" t="s">
        <v>241</v>
      </c>
      <c r="B247" s="160" t="s">
        <v>225</v>
      </c>
      <c r="C247" s="160" t="s">
        <v>226</v>
      </c>
      <c r="D247" s="161"/>
      <c r="E247" s="161" t="s">
        <v>227</v>
      </c>
      <c r="F247" s="162" t="s">
        <v>228</v>
      </c>
      <c r="G247" s="162"/>
      <c r="H247" s="162" t="s">
        <v>229</v>
      </c>
      <c r="I247" s="163"/>
      <c r="J247" s="162" t="s">
        <v>230</v>
      </c>
      <c r="K247" s="162"/>
      <c r="L247">
        <v>7</v>
      </c>
    </row>
    <row r="248" spans="1:12" x14ac:dyDescent="0.25">
      <c r="B248" s="164">
        <v>1</v>
      </c>
      <c r="C248" s="164">
        <v>1</v>
      </c>
      <c r="D248" s="165" t="s">
        <v>117</v>
      </c>
      <c r="E248" s="166">
        <f>D244</f>
        <v>-183333.97588167113</v>
      </c>
      <c r="F248" s="167">
        <v>39333.980000000003</v>
      </c>
      <c r="G248" s="165" t="s">
        <v>117</v>
      </c>
      <c r="H248" s="167">
        <v>144000</v>
      </c>
      <c r="I248" s="165" t="s">
        <v>117</v>
      </c>
      <c r="J248" s="167">
        <v>1760666.02</v>
      </c>
      <c r="K248" s="165" t="s">
        <v>117</v>
      </c>
    </row>
    <row r="249" spans="1:12" x14ac:dyDescent="0.25">
      <c r="B249" s="164">
        <v>2</v>
      </c>
      <c r="C249" s="164">
        <v>2</v>
      </c>
      <c r="D249" s="165" t="s">
        <v>117</v>
      </c>
      <c r="E249" s="166">
        <f>E248</f>
        <v>-183333.97588167113</v>
      </c>
      <c r="F249" s="167">
        <v>42480.7</v>
      </c>
      <c r="G249" s="165" t="s">
        <v>117</v>
      </c>
      <c r="H249" s="167">
        <v>140853.28</v>
      </c>
      <c r="I249" s="165" t="s">
        <v>117</v>
      </c>
      <c r="J249" s="167">
        <v>1718185.32</v>
      </c>
      <c r="K249" s="165" t="s">
        <v>117</v>
      </c>
    </row>
    <row r="250" spans="1:12" x14ac:dyDescent="0.25">
      <c r="B250" s="164">
        <v>3</v>
      </c>
      <c r="C250" s="164">
        <v>3</v>
      </c>
      <c r="D250" s="165" t="s">
        <v>117</v>
      </c>
      <c r="E250" s="166">
        <f>E249</f>
        <v>-183333.97588167113</v>
      </c>
      <c r="F250" s="167">
        <v>45879.15</v>
      </c>
      <c r="G250" s="165" t="s">
        <v>117</v>
      </c>
      <c r="H250" s="167">
        <v>137454.82999999999</v>
      </c>
      <c r="I250" s="165" t="s">
        <v>117</v>
      </c>
      <c r="J250" s="167">
        <v>1672306.17</v>
      </c>
      <c r="K250" s="165" t="s">
        <v>117</v>
      </c>
    </row>
    <row r="251" spans="1:12" x14ac:dyDescent="0.25">
      <c r="B251" s="168"/>
      <c r="C251" s="168"/>
      <c r="D251" s="168"/>
      <c r="E251" s="169" t="s">
        <v>160</v>
      </c>
      <c r="F251" s="169"/>
      <c r="G251" s="168"/>
      <c r="H251" s="168"/>
      <c r="I251" s="168"/>
      <c r="J251" s="168"/>
      <c r="K251" s="168"/>
    </row>
    <row r="252" spans="1:12" x14ac:dyDescent="0.25">
      <c r="E252" s="158" t="s">
        <v>231</v>
      </c>
    </row>
    <row r="254" spans="1:12" x14ac:dyDescent="0.25">
      <c r="A254" s="29">
        <v>5.4</v>
      </c>
      <c r="D254" s="170" t="s">
        <v>117</v>
      </c>
      <c r="E254" s="170" t="s">
        <v>117</v>
      </c>
      <c r="L254">
        <v>3</v>
      </c>
    </row>
    <row r="255" spans="1:12" x14ac:dyDescent="0.25">
      <c r="B255" s="160"/>
      <c r="C255" s="160" t="s">
        <v>232</v>
      </c>
      <c r="D255" s="160" t="s">
        <v>233</v>
      </c>
      <c r="E255" s="160" t="s">
        <v>234</v>
      </c>
      <c r="F255" s="160"/>
      <c r="G255" s="160" t="s">
        <v>235</v>
      </c>
    </row>
    <row r="256" spans="1:12" x14ac:dyDescent="0.25">
      <c r="B256" s="168" t="s">
        <v>236</v>
      </c>
      <c r="C256" s="171">
        <v>-110000</v>
      </c>
      <c r="D256" s="168">
        <v>0</v>
      </c>
      <c r="E256" s="172">
        <v>0.06</v>
      </c>
      <c r="F256" s="173"/>
      <c r="G256" s="174">
        <f>C256</f>
        <v>-110000</v>
      </c>
      <c r="H256" s="59" t="s">
        <v>117</v>
      </c>
    </row>
    <row r="257" spans="1:8" x14ac:dyDescent="0.25">
      <c r="B257" s="168" t="s">
        <v>237</v>
      </c>
      <c r="C257" s="171">
        <v>75000</v>
      </c>
      <c r="D257" s="168">
        <v>1</v>
      </c>
      <c r="E257" s="172">
        <f>E256</f>
        <v>0.06</v>
      </c>
      <c r="F257" s="173"/>
      <c r="G257" s="174">
        <f>PV(E257,D257,0,-C257)</f>
        <v>70754.716981132078</v>
      </c>
      <c r="H257" s="59" t="s">
        <v>117</v>
      </c>
    </row>
    <row r="258" spans="1:8" x14ac:dyDescent="0.25">
      <c r="B258" s="168" t="s">
        <v>238</v>
      </c>
      <c r="C258" s="171">
        <v>90000</v>
      </c>
      <c r="D258" s="168">
        <v>2</v>
      </c>
      <c r="E258" s="172">
        <f t="shared" ref="E258" si="0">E257</f>
        <v>0.06</v>
      </c>
      <c r="F258" s="173"/>
      <c r="G258" s="174">
        <f>PV(E258,D258,0,-C258)</f>
        <v>80099.67960128159</v>
      </c>
      <c r="H258" s="59" t="s">
        <v>117</v>
      </c>
    </row>
    <row r="259" spans="1:8" x14ac:dyDescent="0.25">
      <c r="C259" s="175"/>
      <c r="E259" s="176"/>
      <c r="F259" s="177"/>
      <c r="G259" s="178"/>
      <c r="H259" s="24"/>
    </row>
    <row r="260" spans="1:8" x14ac:dyDescent="0.25">
      <c r="C260" s="179"/>
      <c r="D260" s="180"/>
      <c r="E260" s="181"/>
      <c r="F260" s="182" t="s">
        <v>239</v>
      </c>
      <c r="G260" s="178">
        <f>SUM(G256:G259)</f>
        <v>40854.396582413669</v>
      </c>
      <c r="H260" s="59" t="s">
        <v>117</v>
      </c>
    </row>
    <row r="261" spans="1:8" ht="15.75" thickBot="1" x14ac:dyDescent="0.3">
      <c r="H261" s="24"/>
    </row>
    <row r="262" spans="1:8" ht="15.75" thickBot="1" x14ac:dyDescent="0.3">
      <c r="B262" s="234" t="s">
        <v>100</v>
      </c>
      <c r="C262" s="235"/>
      <c r="D262" s="235"/>
      <c r="E262" s="235"/>
      <c r="F262" s="235"/>
      <c r="G262" s="236"/>
    </row>
    <row r="264" spans="1:8" x14ac:dyDescent="0.25">
      <c r="B264" s="168" t="s">
        <v>236</v>
      </c>
      <c r="C264" s="171">
        <f>C256</f>
        <v>-110000</v>
      </c>
      <c r="D264" s="2" t="s">
        <v>160</v>
      </c>
    </row>
    <row r="265" spans="1:8" x14ac:dyDescent="0.25">
      <c r="B265" s="168" t="s">
        <v>237</v>
      </c>
      <c r="C265" s="171">
        <f t="shared" ref="C265:C266" si="1">C257</f>
        <v>75000</v>
      </c>
      <c r="D265" s="59" t="s">
        <v>117</v>
      </c>
    </row>
    <row r="266" spans="1:8" x14ac:dyDescent="0.25">
      <c r="B266" s="168" t="s">
        <v>238</v>
      </c>
      <c r="C266" s="171">
        <f t="shared" si="1"/>
        <v>90000</v>
      </c>
      <c r="D266" s="59" t="s">
        <v>117</v>
      </c>
    </row>
    <row r="267" spans="1:8" x14ac:dyDescent="0.25">
      <c r="B267" s="183" t="s">
        <v>234</v>
      </c>
      <c r="C267" s="184">
        <f>E258</f>
        <v>0.06</v>
      </c>
      <c r="D267" s="59" t="s">
        <v>117</v>
      </c>
    </row>
    <row r="268" spans="1:8" x14ac:dyDescent="0.25">
      <c r="B268" s="183" t="s">
        <v>240</v>
      </c>
      <c r="C268" s="178">
        <f>G260</f>
        <v>40854.396582413669</v>
      </c>
      <c r="D268" s="59" t="s">
        <v>117</v>
      </c>
    </row>
    <row r="269" spans="1:8" x14ac:dyDescent="0.25">
      <c r="A269" s="1"/>
    </row>
    <row r="270" spans="1:8" x14ac:dyDescent="0.25">
      <c r="A270" s="1" t="s">
        <v>214</v>
      </c>
    </row>
    <row r="271" spans="1:8" x14ac:dyDescent="0.25">
      <c r="A271" s="23">
        <v>6.1</v>
      </c>
      <c r="B271" s="22" t="s">
        <v>245</v>
      </c>
      <c r="C271" t="s">
        <v>246</v>
      </c>
      <c r="D271" s="185">
        <v>11123</v>
      </c>
      <c r="E271" s="186" t="s">
        <v>247</v>
      </c>
      <c r="H271" s="1"/>
    </row>
    <row r="272" spans="1:8" x14ac:dyDescent="0.25">
      <c r="A272" s="187"/>
      <c r="C272" t="s">
        <v>248</v>
      </c>
      <c r="D272" s="185">
        <v>-10000</v>
      </c>
      <c r="E272" s="186" t="s">
        <v>247</v>
      </c>
      <c r="H272" s="1"/>
    </row>
    <row r="273" spans="1:13" x14ac:dyDescent="0.25">
      <c r="A273" s="187"/>
      <c r="C273" t="s">
        <v>249</v>
      </c>
      <c r="D273" s="188">
        <v>0.1</v>
      </c>
      <c r="E273" s="186" t="s">
        <v>247</v>
      </c>
      <c r="H273" s="1"/>
    </row>
    <row r="274" spans="1:13" x14ac:dyDescent="0.25">
      <c r="A274" s="187"/>
      <c r="C274" t="s">
        <v>233</v>
      </c>
      <c r="D274" s="29">
        <v>10</v>
      </c>
      <c r="E274" s="186" t="s">
        <v>247</v>
      </c>
      <c r="H274" s="1"/>
    </row>
    <row r="275" spans="1:13" x14ac:dyDescent="0.25">
      <c r="A275" s="187"/>
      <c r="C275" t="s">
        <v>250</v>
      </c>
      <c r="D275" s="29">
        <v>-1182.76</v>
      </c>
      <c r="E275" s="2" t="s">
        <v>160</v>
      </c>
      <c r="H275" s="1"/>
    </row>
    <row r="276" spans="1:13" x14ac:dyDescent="0.25">
      <c r="A276" s="187"/>
      <c r="H276" s="1"/>
    </row>
    <row r="277" spans="1:13" x14ac:dyDescent="0.25">
      <c r="A277" s="187"/>
      <c r="C277" t="s">
        <v>251</v>
      </c>
      <c r="D277" s="85" t="s">
        <v>252</v>
      </c>
      <c r="E277" s="85"/>
      <c r="H277" s="1"/>
    </row>
    <row r="278" spans="1:13" x14ac:dyDescent="0.25">
      <c r="A278" s="187"/>
      <c r="D278" s="215" t="s">
        <v>253</v>
      </c>
      <c r="E278" s="215"/>
      <c r="F278" s="2" t="s">
        <v>160</v>
      </c>
      <c r="H278" s="1"/>
    </row>
    <row r="279" spans="1:13" x14ac:dyDescent="0.25">
      <c r="A279" s="187"/>
      <c r="D279" s="69">
        <f>D275/D272*100</f>
        <v>11.827599999999999</v>
      </c>
      <c r="E279" t="s">
        <v>32</v>
      </c>
      <c r="F279" s="2" t="s">
        <v>160</v>
      </c>
      <c r="H279" s="22">
        <v>5</v>
      </c>
    </row>
    <row r="280" spans="1:13" x14ac:dyDescent="0.25">
      <c r="A280" s="187"/>
      <c r="C280" s="189" t="s">
        <v>254</v>
      </c>
      <c r="D280" s="69"/>
      <c r="F280" s="2"/>
      <c r="H280" s="1"/>
    </row>
    <row r="281" spans="1:13" x14ac:dyDescent="0.25">
      <c r="A281" s="187"/>
      <c r="H281" s="1"/>
    </row>
    <row r="282" spans="1:13" x14ac:dyDescent="0.25">
      <c r="A282" s="23" t="s">
        <v>255</v>
      </c>
      <c r="B282" s="22" t="s">
        <v>256</v>
      </c>
      <c r="C282" t="s">
        <v>257</v>
      </c>
      <c r="H282" s="1"/>
    </row>
    <row r="283" spans="1:13" x14ac:dyDescent="0.25">
      <c r="A283" s="187"/>
      <c r="C283" t="s">
        <v>258</v>
      </c>
      <c r="H283" s="1"/>
    </row>
    <row r="284" spans="1:13" x14ac:dyDescent="0.25">
      <c r="A284" s="187"/>
      <c r="H284" s="1"/>
    </row>
    <row r="285" spans="1:13" ht="20.25" customHeight="1" x14ac:dyDescent="0.25">
      <c r="C285" t="s">
        <v>259</v>
      </c>
      <c r="F285" s="24">
        <v>0.08</v>
      </c>
      <c r="G285" s="186" t="s">
        <v>260</v>
      </c>
      <c r="H285" s="1"/>
      <c r="J285" s="190" t="s">
        <v>257</v>
      </c>
      <c r="K285" s="190"/>
      <c r="L285" s="190"/>
      <c r="M285" s="190"/>
    </row>
    <row r="286" spans="1:13" ht="20.25" customHeight="1" x14ac:dyDescent="0.25">
      <c r="A286" s="187"/>
      <c r="B286" s="1"/>
      <c r="C286" t="s">
        <v>261</v>
      </c>
      <c r="F286" s="24">
        <v>1.3</v>
      </c>
      <c r="G286" s="186" t="s">
        <v>260</v>
      </c>
      <c r="H286" s="1"/>
      <c r="J286" s="191"/>
    </row>
    <row r="287" spans="1:13" x14ac:dyDescent="0.25">
      <c r="A287" s="187"/>
      <c r="C287" t="s">
        <v>262</v>
      </c>
      <c r="F287" s="24">
        <v>0.16</v>
      </c>
      <c r="G287" s="186" t="s">
        <v>260</v>
      </c>
      <c r="H287" s="1"/>
    </row>
    <row r="288" spans="1:13" ht="15.75" thickBot="1" x14ac:dyDescent="0.3">
      <c r="A288" s="187"/>
      <c r="C288" t="s">
        <v>263</v>
      </c>
      <c r="F288" s="192">
        <f>F285+F286*(F287-F285)</f>
        <v>0.184</v>
      </c>
      <c r="G288" s="186" t="s">
        <v>260</v>
      </c>
      <c r="H288" s="22">
        <v>2</v>
      </c>
    </row>
    <row r="289" spans="1:10" ht="15.75" thickTop="1" x14ac:dyDescent="0.25">
      <c r="A289" s="187"/>
      <c r="F289" s="24"/>
      <c r="G289" s="24"/>
      <c r="H289" s="1"/>
    </row>
    <row r="290" spans="1:10" x14ac:dyDescent="0.25">
      <c r="A290" s="23" t="s">
        <v>264</v>
      </c>
      <c r="B290" s="22" t="s">
        <v>265</v>
      </c>
      <c r="D290" s="181"/>
      <c r="E290" s="181"/>
      <c r="F290" s="193"/>
      <c r="G290" s="194"/>
      <c r="H290" s="1"/>
    </row>
    <row r="291" spans="1:10" x14ac:dyDescent="0.25">
      <c r="A291" s="187"/>
      <c r="F291" s="24"/>
      <c r="G291" s="24"/>
      <c r="H291" s="1"/>
    </row>
    <row r="292" spans="1:10" x14ac:dyDescent="0.25">
      <c r="A292" s="187"/>
      <c r="B292" s="1"/>
      <c r="D292" t="s">
        <v>235</v>
      </c>
      <c r="E292" s="195" t="s">
        <v>266</v>
      </c>
      <c r="F292" s="196">
        <v>515000.00000000006</v>
      </c>
      <c r="G292" s="181" t="s">
        <v>43</v>
      </c>
      <c r="H292" s="1"/>
    </row>
    <row r="293" spans="1:10" x14ac:dyDescent="0.25">
      <c r="A293" s="187"/>
      <c r="D293" t="s">
        <v>250</v>
      </c>
      <c r="E293" t="s">
        <v>267</v>
      </c>
      <c r="F293" s="196">
        <f>500000*0.08</f>
        <v>40000</v>
      </c>
      <c r="G293" s="181" t="s">
        <v>43</v>
      </c>
      <c r="H293" s="1"/>
    </row>
    <row r="294" spans="1:10" x14ac:dyDescent="0.25">
      <c r="A294" s="187"/>
      <c r="D294" t="s">
        <v>248</v>
      </c>
      <c r="E294" t="s">
        <v>268</v>
      </c>
      <c r="F294" s="196">
        <f>100000*5</f>
        <v>500000</v>
      </c>
      <c r="G294" s="181" t="s">
        <v>43</v>
      </c>
      <c r="H294" s="1"/>
    </row>
    <row r="295" spans="1:10" x14ac:dyDescent="0.25">
      <c r="A295" s="187"/>
      <c r="D295" t="s">
        <v>233</v>
      </c>
      <c r="F295" s="24">
        <v>5</v>
      </c>
      <c r="G295" s="181" t="s">
        <v>43</v>
      </c>
      <c r="H295" s="1"/>
    </row>
    <row r="296" spans="1:10" x14ac:dyDescent="0.25">
      <c r="A296" s="187"/>
      <c r="D296" t="s">
        <v>234</v>
      </c>
      <c r="E296" s="181"/>
      <c r="F296" s="197">
        <v>7.2632000000000003</v>
      </c>
      <c r="G296" s="181" t="s">
        <v>43</v>
      </c>
      <c r="H296" s="22">
        <v>5</v>
      </c>
    </row>
    <row r="297" spans="1:10" x14ac:dyDescent="0.25">
      <c r="A297" s="187"/>
      <c r="F297" s="24"/>
      <c r="G297" s="24"/>
      <c r="H297" s="1"/>
    </row>
    <row r="298" spans="1:10" x14ac:dyDescent="0.25">
      <c r="A298" s="23" t="s">
        <v>269</v>
      </c>
      <c r="B298" s="22" t="s">
        <v>270</v>
      </c>
      <c r="D298" t="s">
        <v>235</v>
      </c>
      <c r="F298" s="196">
        <v>400000</v>
      </c>
      <c r="G298" s="181" t="s">
        <v>43</v>
      </c>
      <c r="H298" s="1"/>
      <c r="J298" s="22"/>
    </row>
    <row r="299" spans="1:10" x14ac:dyDescent="0.25">
      <c r="A299" s="187"/>
      <c r="D299" t="s">
        <v>250</v>
      </c>
      <c r="F299" s="196">
        <v>-115000</v>
      </c>
      <c r="G299" s="181" t="s">
        <v>43</v>
      </c>
      <c r="H299" s="1"/>
      <c r="J299" s="198"/>
    </row>
    <row r="300" spans="1:10" x14ac:dyDescent="0.25">
      <c r="A300" s="187"/>
      <c r="D300" t="s">
        <v>248</v>
      </c>
      <c r="F300" s="196">
        <v>0</v>
      </c>
      <c r="G300" s="181"/>
      <c r="H300" s="1"/>
      <c r="J300" s="22"/>
    </row>
    <row r="301" spans="1:10" x14ac:dyDescent="0.25">
      <c r="A301" s="187"/>
      <c r="D301" t="s">
        <v>233</v>
      </c>
      <c r="F301" s="199">
        <v>4</v>
      </c>
      <c r="G301" s="181" t="s">
        <v>43</v>
      </c>
      <c r="H301" s="1"/>
      <c r="J301" s="198"/>
    </row>
    <row r="302" spans="1:10" x14ac:dyDescent="0.25">
      <c r="A302" s="187"/>
      <c r="D302" t="s">
        <v>234</v>
      </c>
      <c r="F302" s="200">
        <v>5.8346999999999998</v>
      </c>
      <c r="G302" s="181" t="s">
        <v>43</v>
      </c>
      <c r="H302" s="1"/>
      <c r="J302" s="201"/>
    </row>
    <row r="303" spans="1:10" x14ac:dyDescent="0.25">
      <c r="A303" s="187"/>
      <c r="D303" t="s">
        <v>271</v>
      </c>
      <c r="F303" s="202">
        <f>F302*(1-0.28)</f>
        <v>4.2009840000000001</v>
      </c>
      <c r="G303" s="203" t="s">
        <v>43</v>
      </c>
      <c r="H303" s="22">
        <v>5</v>
      </c>
      <c r="J303" s="204"/>
    </row>
    <row r="304" spans="1:10" x14ac:dyDescent="0.25">
      <c r="A304" s="187"/>
      <c r="H304" s="1"/>
    </row>
    <row r="305" spans="1:8" x14ac:dyDescent="0.25">
      <c r="A305" s="23" t="s">
        <v>272</v>
      </c>
      <c r="C305" s="216" t="s">
        <v>273</v>
      </c>
      <c r="D305" s="216"/>
      <c r="E305" s="115" t="s">
        <v>274</v>
      </c>
      <c r="F305" s="168" t="s">
        <v>275</v>
      </c>
      <c r="H305" s="1"/>
    </row>
    <row r="306" spans="1:8" x14ac:dyDescent="0.25">
      <c r="A306" s="187"/>
      <c r="C306" s="217" t="s">
        <v>276</v>
      </c>
      <c r="D306" s="218"/>
      <c r="E306" s="205">
        <f>10000*5</f>
        <v>50000</v>
      </c>
      <c r="F306" s="206">
        <f>E306/E309</f>
        <v>5.181347150259067E-2</v>
      </c>
      <c r="G306" s="203" t="s">
        <v>43</v>
      </c>
      <c r="H306" s="1"/>
    </row>
    <row r="307" spans="1:8" x14ac:dyDescent="0.25">
      <c r="A307" s="187"/>
      <c r="C307" s="219" t="s">
        <v>277</v>
      </c>
      <c r="D307" s="220"/>
      <c r="E307" s="207">
        <f>100000*5.15</f>
        <v>515000.00000000006</v>
      </c>
      <c r="F307" s="208">
        <f>E307/E309</f>
        <v>0.53367875647668395</v>
      </c>
      <c r="G307" s="203" t="s">
        <v>43</v>
      </c>
      <c r="H307" s="1"/>
    </row>
    <row r="308" spans="1:8" x14ac:dyDescent="0.25">
      <c r="A308" s="187"/>
      <c r="C308" s="219" t="s">
        <v>270</v>
      </c>
      <c r="D308" s="220"/>
      <c r="E308" s="207">
        <v>400000</v>
      </c>
      <c r="F308" s="208">
        <f>E308/E309</f>
        <v>0.41450777202072536</v>
      </c>
      <c r="G308" s="203" t="s">
        <v>43</v>
      </c>
      <c r="H308" s="1"/>
    </row>
    <row r="309" spans="1:8" x14ac:dyDescent="0.25">
      <c r="A309" s="29"/>
      <c r="C309" s="213" t="s">
        <v>36</v>
      </c>
      <c r="D309" s="214"/>
      <c r="E309" s="209">
        <f>SUM(E306:E308)</f>
        <v>965000</v>
      </c>
      <c r="F309" s="210">
        <v>1</v>
      </c>
      <c r="H309" s="22">
        <v>3</v>
      </c>
    </row>
  </sheetData>
  <mergeCells count="29">
    <mergeCell ref="B262:G262"/>
    <mergeCell ref="B164:F164"/>
    <mergeCell ref="C175:D175"/>
    <mergeCell ref="C197:D197"/>
    <mergeCell ref="D201:D202"/>
    <mergeCell ref="D203:D204"/>
    <mergeCell ref="A46:H46"/>
    <mergeCell ref="C22:D22"/>
    <mergeCell ref="C30:D30"/>
    <mergeCell ref="C31:D31"/>
    <mergeCell ref="C38:D38"/>
    <mergeCell ref="C39:D39"/>
    <mergeCell ref="C3:D3"/>
    <mergeCell ref="C4:D4"/>
    <mergeCell ref="C12:D12"/>
    <mergeCell ref="C13:D13"/>
    <mergeCell ref="C21:D21"/>
    <mergeCell ref="B88:E88"/>
    <mergeCell ref="B94:C94"/>
    <mergeCell ref="B98:C98"/>
    <mergeCell ref="C118:C119"/>
    <mergeCell ref="C122:C123"/>
    <mergeCell ref="E122:E123"/>
    <mergeCell ref="C309:D309"/>
    <mergeCell ref="D278:E278"/>
    <mergeCell ref="C305:D305"/>
    <mergeCell ref="C306:D306"/>
    <mergeCell ref="C307:D307"/>
    <mergeCell ref="C308:D308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3073" r:id="rId4">
          <objectPr defaultSize="0" autoPict="0" r:id="rId5">
            <anchor moveWithCells="1" sizeWithCells="1">
              <from>
                <xdr:col>1</xdr:col>
                <xdr:colOff>19050</xdr:colOff>
                <xdr:row>183</xdr:row>
                <xdr:rowOff>28575</xdr:rowOff>
              </from>
              <to>
                <xdr:col>2</xdr:col>
                <xdr:colOff>971550</xdr:colOff>
                <xdr:row>185</xdr:row>
                <xdr:rowOff>0</xdr:rowOff>
              </to>
            </anchor>
          </objectPr>
        </oleObject>
      </mc:Choice>
      <mc:Fallback>
        <oleObject progId="Equation.3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sheet</vt:lpstr>
      <vt:lpstr>SEC A Q1 TO Q6</vt:lpstr>
      <vt:lpstr>'Cover sheet'!Print_Area</vt:lpstr>
    </vt:vector>
  </TitlesOfParts>
  <Company>University of Johannesburg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Khoza, Rachel</dc:creator>
  <cp:lastModifiedBy>Otto, Werner</cp:lastModifiedBy>
  <cp:lastPrinted>2019-03-20T08:39:56Z</cp:lastPrinted>
  <dcterms:created xsi:type="dcterms:W3CDTF">2017-08-02T10:26:59Z</dcterms:created>
  <dcterms:modified xsi:type="dcterms:W3CDTF">2022-10-14T14:27:28Z</dcterms:modified>
</cp:coreProperties>
</file>